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364DB2B-CBD2-47E6-8C8F-FEE2236C119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3.09 1-4 кл" sheetId="1" r:id="rId1"/>
    <sheet name="13.09 5-11 кл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F26" i="1"/>
  <c r="G22" i="1"/>
  <c r="H22" i="1"/>
  <c r="I22" i="1"/>
  <c r="J22" i="1"/>
  <c r="F22" i="1"/>
  <c r="G15" i="1"/>
  <c r="H15" i="1"/>
  <c r="I15" i="1"/>
  <c r="J15" i="1"/>
  <c r="F15" i="1"/>
  <c r="G9" i="1"/>
  <c r="H9" i="1"/>
  <c r="I9" i="1"/>
  <c r="J9" i="1"/>
  <c r="F9" i="1"/>
  <c r="G29" i="2"/>
  <c r="H29" i="2"/>
  <c r="I29" i="2"/>
  <c r="J29" i="2"/>
  <c r="F29" i="2"/>
  <c r="G22" i="2"/>
  <c r="H22" i="2"/>
  <c r="I22" i="2"/>
  <c r="J22" i="2"/>
  <c r="F22" i="2"/>
  <c r="G16" i="2"/>
  <c r="H16" i="2"/>
  <c r="I16" i="2"/>
  <c r="J16" i="2"/>
  <c r="F16" i="2"/>
  <c r="G13" i="2"/>
  <c r="H13" i="2"/>
  <c r="I13" i="2"/>
  <c r="J13" i="2"/>
  <c r="F13" i="2"/>
  <c r="G9" i="2"/>
  <c r="H9" i="2"/>
  <c r="I9" i="2"/>
  <c r="J9" i="2"/>
  <c r="F9" i="2"/>
  <c r="J14" i="2" l="1"/>
  <c r="I14" i="2"/>
  <c r="H14" i="2"/>
  <c r="G14" i="2"/>
  <c r="J10" i="2"/>
  <c r="I10" i="2"/>
  <c r="H10" i="2"/>
  <c r="G10" i="2"/>
  <c r="J11" i="2"/>
  <c r="I11" i="2"/>
  <c r="H11" i="2"/>
  <c r="G11" i="2"/>
  <c r="J28" i="2"/>
  <c r="I28" i="2"/>
  <c r="H28" i="2"/>
  <c r="G28" i="2"/>
  <c r="J27" i="2"/>
  <c r="I27" i="2"/>
  <c r="H27" i="2"/>
  <c r="G27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8" i="2"/>
  <c r="I8" i="2"/>
  <c r="H8" i="2"/>
  <c r="G8" i="2"/>
  <c r="G7" i="2"/>
  <c r="J6" i="2"/>
  <c r="I6" i="2"/>
  <c r="H6" i="2"/>
  <c r="G6" i="2"/>
  <c r="J5" i="2"/>
  <c r="I5" i="2"/>
  <c r="H5" i="2"/>
  <c r="G5" i="2"/>
  <c r="J4" i="2"/>
  <c r="I4" i="2"/>
  <c r="H4" i="2"/>
  <c r="J3" i="2"/>
  <c r="I3" i="2"/>
  <c r="H3" i="2"/>
  <c r="G3" i="2"/>
  <c r="G23" i="1"/>
  <c r="J23" i="1"/>
  <c r="I23" i="1"/>
  <c r="H23" i="1"/>
  <c r="J24" i="1" l="1"/>
  <c r="I24" i="1"/>
  <c r="H24" i="1"/>
  <c r="G24" i="1"/>
  <c r="J25" i="1"/>
  <c r="I25" i="1"/>
  <c r="H25" i="1"/>
  <c r="G25" i="1"/>
  <c r="J16" i="1"/>
  <c r="I16" i="1"/>
  <c r="H16" i="1"/>
  <c r="G16" i="1"/>
  <c r="J14" i="1"/>
  <c r="I14" i="1"/>
  <c r="H14" i="1"/>
  <c r="G14" i="1"/>
  <c r="J12" i="1"/>
  <c r="I12" i="1"/>
  <c r="H12" i="1"/>
  <c r="G12" i="1"/>
  <c r="J21" i="1"/>
  <c r="I21" i="1"/>
  <c r="H21" i="1"/>
  <c r="G21" i="1"/>
  <c r="J20" i="1"/>
  <c r="I20" i="1"/>
  <c r="H20" i="1"/>
  <c r="G20" i="1"/>
  <c r="J18" i="1"/>
  <c r="I18" i="1"/>
  <c r="H18" i="1"/>
  <c r="G18" i="1"/>
  <c r="J17" i="1"/>
  <c r="I17" i="1"/>
  <c r="H17" i="1"/>
  <c r="G17" i="1"/>
  <c r="J11" i="1"/>
  <c r="I11" i="1"/>
  <c r="H11" i="1"/>
  <c r="G11" i="1"/>
  <c r="J10" i="1"/>
  <c r="I10" i="1"/>
  <c r="H10" i="1"/>
  <c r="G10" i="1"/>
  <c r="J8" i="1"/>
  <c r="I8" i="1"/>
  <c r="H8" i="1"/>
  <c r="G8" i="1"/>
  <c r="G7" i="1"/>
  <c r="J3" i="1"/>
  <c r="I3" i="1"/>
  <c r="H3" i="1"/>
  <c r="G3" i="1"/>
  <c r="G6" i="1"/>
  <c r="H6" i="1"/>
  <c r="I6" i="1"/>
  <c r="J6" i="1"/>
  <c r="G5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<sst xmlns="http://schemas.openxmlformats.org/spreadsheetml/2006/main" count="195" uniqueCount="72">
  <si>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</si>
  <si>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</si>
  <si>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</si>
  <si>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</si>
  <si>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</si>
  <si>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</si>
  <si>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</si>
  <si>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</si>
  <si>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</si>
  <si>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</si>
  <si>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</si>
  <si>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</si>
  <si>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</si>
  <si>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</si>
  <si>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</si>
  <si>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</si>
  <si>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</si>
  <si>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</si>
  <si>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</si>
  <si>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</si>
  <si>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</si>
  <si>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</si>
  <si>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Фрукт</t>
  </si>
  <si>
    <t>№338-2015г</t>
  </si>
  <si>
    <t>Фрукт свежий (яблоко)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</si>
  <si>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</si>
  <si>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</si>
  <si>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</si>
  <si>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</si>
  <si>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</si>
  <si>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</si>
  <si>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</si>
  <si>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</si>
  <si>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</si>
  <si>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</si>
  <si>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№45-2015г.</t>
  </si>
  <si>
    <t>50/10</t>
  </si>
  <si>
    <t>Салат из белокочанной капусты с морковью с горошком зелёны консервированным</t>
  </si>
  <si>
    <t>№210-2015г.</t>
  </si>
  <si>
    <t>Омлет натуральный</t>
  </si>
  <si>
    <t>№379-2015г.</t>
  </si>
  <si>
    <t>Кофейный напиток с молоком</t>
  </si>
  <si>
    <t>№15-2015г.</t>
  </si>
  <si>
    <t>Сыр "Российский" (порциями)</t>
  </si>
  <si>
    <t>ТТК №6</t>
  </si>
  <si>
    <t>Булочка "Рулетик с маком"</t>
  </si>
  <si>
    <t>ТТК№5</t>
  </si>
  <si>
    <t>Батон "Домашний"</t>
  </si>
  <si>
    <t>№102-2015г.</t>
  </si>
  <si>
    <t>Суп картофельный с горохом с зеленью</t>
  </si>
  <si>
    <t>250/2</t>
  </si>
  <si>
    <t>№295-2015г.</t>
  </si>
  <si>
    <t>Котлета рубленая из бройлер-цыплят</t>
  </si>
  <si>
    <t>№304-2015г.</t>
  </si>
  <si>
    <t>Рис отварной</t>
  </si>
  <si>
    <t>200/15</t>
  </si>
  <si>
    <t>№338-2015г.</t>
  </si>
  <si>
    <t>Апельсин свежий (порционно)</t>
  </si>
  <si>
    <t>250/10/2</t>
  </si>
  <si>
    <t>Суп картофельный с горохом с тушёнкой мясной с зеленью</t>
  </si>
  <si>
    <t>№3-2015г.</t>
  </si>
  <si>
    <t>Бутерброд с сыром</t>
  </si>
  <si>
    <t>10/4/30</t>
  </si>
  <si>
    <t>Завтрак 5-11 кл с доплатой 62,50 руб. и льготники с доплатой 42,50 руб. 1 смена</t>
  </si>
  <si>
    <t>Завтрак льготный 5-11 кл</t>
  </si>
  <si>
    <t>8/30</t>
  </si>
  <si>
    <t>№1-2015г.</t>
  </si>
  <si>
    <t>Бутерброд с маслом</t>
  </si>
  <si>
    <t>4/33,5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</si>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</sst>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2" fontId="1" fillId="0" borderId="25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2" fontId="1" fillId="0" borderId="24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1" fillId="0" borderId="25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1" xfId="0" applyFont="1" applyBorder="1" applyAlignment="1">
      <alignment horizontal="right" vertical="center" wrapText="1"/>
    </xf>
    <xf numFmtId="2" fontId="1" fillId="0" borderId="31" xfId="0" applyNumberFormat="1" applyFont="1" applyBorder="1" applyAlignment="1">
      <alignment horizontal="right" vertical="center" wrapText="1"/>
    </xf>
    <xf numFmtId="2" fontId="1" fillId="0" borderId="31" xfId="0" applyNumberFormat="1" applyFont="1" applyBorder="1" applyAlignment="1">
      <alignment vertical="center" wrapText="1"/>
    </xf>
    <xf numFmtId="2" fontId="1" fillId="0" borderId="32" xfId="0" applyNumberFormat="1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34" xfId="0" applyNumberFormat="1" applyFont="1" applyBorder="1" applyAlignment="1">
      <alignment horizontal="right" vertical="center" wrapText="1"/>
    </xf>
    <xf numFmtId="2" fontId="2" fillId="0" borderId="37" xfId="0" applyNumberFormat="1" applyFont="1" applyBorder="1" applyAlignment="1">
      <alignment vertical="center" wrapText="1"/>
    </xf>
    <xf numFmtId="49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8" xfId="0" applyFont="1" applyBorder="1" applyAlignment="1">
      <alignment horizontal="right" vertical="center" wrapText="1"/>
    </xf>
    <xf numFmtId="2" fontId="1" fillId="0" borderId="3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7" workbookViewId="0">
      <selection activeCell="F26" sqref="F26:J26"/>
    </sheetView>
  </sheetViews>
  <sheetFormatPr defaultRowHeight="15" x14ac:dyDescent="0.25"/>
  <cols>
    <col min="1" max="1" width="19.57031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1" t="s">
        <v>25</v>
      </c>
      <c r="C1" s="62"/>
      <c r="D1" s="1" t="s">
        <v>1</v>
      </c>
      <c r="E1" s="2"/>
      <c r="F1" s="1" t="s">
        <v>2</v>
      </c>
      <c r="G1" s="63">
        <v>44452</v>
      </c>
      <c r="H1" s="64"/>
      <c r="I1" s="64"/>
      <c r="J1" s="64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52" t="s">
        <v>30</v>
      </c>
      <c r="B3" s="20" t="s">
        <v>34</v>
      </c>
      <c r="C3" s="21" t="s">
        <v>42</v>
      </c>
      <c r="D3" s="21" t="s">
        <v>43</v>
      </c>
      <c r="E3" s="22">
        <v>34</v>
      </c>
      <c r="F3" s="22">
        <v>26.79</v>
      </c>
      <c r="G3" s="23">
        <f>3.6*34</f>
        <v>122.4</v>
      </c>
      <c r="H3" s="23">
        <f>6.96/30*34</f>
        <v>7.8880000000000008</v>
      </c>
      <c r="I3" s="23">
        <f>8.85/30*34</f>
        <v>10.029999999999999</v>
      </c>
      <c r="J3" s="24">
        <f>0</f>
        <v>0</v>
      </c>
    </row>
    <row r="4" spans="1:12" ht="31.5" customHeight="1" x14ac:dyDescent="0.25">
      <c r="A4" s="53"/>
      <c r="B4" s="13" t="s">
        <v>34</v>
      </c>
      <c r="C4" s="10" t="s">
        <v>35</v>
      </c>
      <c r="D4" s="10" t="s">
        <v>37</v>
      </c>
      <c r="E4" s="25" t="s">
        <v>36</v>
      </c>
      <c r="F4" s="12">
        <v>9.34</v>
      </c>
      <c r="G4" s="12">
        <v>34.200000000000003</v>
      </c>
      <c r="H4" s="12">
        <f>13.12*0.05+3.1*0.1</f>
        <v>0.96600000000000008</v>
      </c>
      <c r="I4" s="12">
        <f>32.49*0.05+0.2*0.1</f>
        <v>1.6445000000000003</v>
      </c>
      <c r="J4" s="14">
        <f>64.66*0.05+6.5*0.1</f>
        <v>3.883</v>
      </c>
    </row>
    <row r="5" spans="1:12" x14ac:dyDescent="0.25">
      <c r="A5" s="53"/>
      <c r="B5" s="13" t="s">
        <v>13</v>
      </c>
      <c r="C5" s="10" t="s">
        <v>38</v>
      </c>
      <c r="D5" s="10" t="s">
        <v>39</v>
      </c>
      <c r="E5" s="25">
        <v>105</v>
      </c>
      <c r="F5" s="12">
        <v>18.27</v>
      </c>
      <c r="G5" s="12">
        <f>79*2</f>
        <v>158</v>
      </c>
      <c r="H5" s="12">
        <f>5.32*2</f>
        <v>10.64</v>
      </c>
      <c r="I5" s="12">
        <f>5.97*2</f>
        <v>11.94</v>
      </c>
      <c r="J5" s="14">
        <f>0.95*2</f>
        <v>1.9</v>
      </c>
    </row>
    <row r="6" spans="1:12" x14ac:dyDescent="0.25">
      <c r="A6" s="53"/>
      <c r="B6" s="13" t="s">
        <v>18</v>
      </c>
      <c r="C6" s="10" t="s">
        <v>40</v>
      </c>
      <c r="D6" s="10" t="s">
        <v>41</v>
      </c>
      <c r="E6" s="25">
        <v>200</v>
      </c>
      <c r="F6" s="12">
        <v>7.64</v>
      </c>
      <c r="G6" s="12">
        <f>503*0.2</f>
        <v>100.60000000000001</v>
      </c>
      <c r="H6" s="12">
        <f>15.83*0.2</f>
        <v>3.1660000000000004</v>
      </c>
      <c r="I6" s="12">
        <f>13.39*0.2</f>
        <v>2.6780000000000004</v>
      </c>
      <c r="J6" s="14">
        <f>79.73*0.2</f>
        <v>15.946000000000002</v>
      </c>
    </row>
    <row r="7" spans="1:12" x14ac:dyDescent="0.25">
      <c r="A7" s="53"/>
      <c r="B7" s="13" t="s">
        <v>21</v>
      </c>
      <c r="C7" s="10" t="s">
        <v>44</v>
      </c>
      <c r="D7" s="10" t="s">
        <v>45</v>
      </c>
      <c r="E7" s="25">
        <v>50</v>
      </c>
      <c r="F7" s="12">
        <v>6.29</v>
      </c>
      <c r="G7" s="12">
        <f>397.2/2</f>
        <v>198.6</v>
      </c>
      <c r="H7" s="11">
        <v>4.0999999999999996</v>
      </c>
      <c r="I7" s="11">
        <v>7.7</v>
      </c>
      <c r="J7" s="15">
        <v>28.2</v>
      </c>
    </row>
    <row r="8" spans="1:12" ht="15.75" thickBot="1" x14ac:dyDescent="0.3">
      <c r="A8" s="54"/>
      <c r="B8" s="16" t="s">
        <v>14</v>
      </c>
      <c r="C8" s="17" t="s">
        <v>46</v>
      </c>
      <c r="D8" s="17" t="s">
        <v>47</v>
      </c>
      <c r="E8" s="26">
        <v>34.5</v>
      </c>
      <c r="F8" s="27">
        <v>1.17</v>
      </c>
      <c r="G8" s="27">
        <f>229.7*0.345</f>
        <v>79.246499999999983</v>
      </c>
      <c r="H8" s="18">
        <f>6.7*0.345</f>
        <v>2.3114999999999997</v>
      </c>
      <c r="I8" s="18">
        <f>1.1*0.345</f>
        <v>0.3795</v>
      </c>
      <c r="J8" s="19">
        <f>48.3*0.345</f>
        <v>16.663499999999999</v>
      </c>
    </row>
    <row r="9" spans="1:12" ht="16.5" thickBot="1" x14ac:dyDescent="0.3">
      <c r="A9" s="58" t="s">
        <v>15</v>
      </c>
      <c r="B9" s="68"/>
      <c r="C9" s="68"/>
      <c r="D9" s="68"/>
      <c r="E9" s="69"/>
      <c r="F9" s="28">
        <f>SUM(F3:F8)</f>
        <v>69.5</v>
      </c>
      <c r="G9" s="28">
        <f t="shared" ref="G9:J9" si="0">SUM(G3:G8)</f>
        <v>693.04650000000004</v>
      </c>
      <c r="H9" s="28">
        <f t="shared" si="0"/>
        <v>29.071499999999997</v>
      </c>
      <c r="I9" s="28">
        <f t="shared" si="0"/>
        <v>34.372</v>
      </c>
      <c r="J9" s="28">
        <f t="shared" si="0"/>
        <v>66.592500000000001</v>
      </c>
    </row>
    <row r="10" spans="1:12" x14ac:dyDescent="0.25">
      <c r="A10" s="55" t="s">
        <v>31</v>
      </c>
      <c r="B10" s="29" t="s">
        <v>16</v>
      </c>
      <c r="C10" s="30" t="s">
        <v>48</v>
      </c>
      <c r="D10" s="30" t="s">
        <v>49</v>
      </c>
      <c r="E10" s="22" t="s">
        <v>50</v>
      </c>
      <c r="F10" s="23">
        <v>7.78</v>
      </c>
      <c r="G10" s="23">
        <f>593*0.25</f>
        <v>148.25</v>
      </c>
      <c r="H10" s="23">
        <f>21.96*0.25</f>
        <v>5.49</v>
      </c>
      <c r="I10" s="23">
        <f>21.08*0.25</f>
        <v>5.27</v>
      </c>
      <c r="J10" s="24">
        <f>66.14*0.25</f>
        <v>16.535</v>
      </c>
    </row>
    <row r="11" spans="1:12" x14ac:dyDescent="0.25">
      <c r="A11" s="56"/>
      <c r="B11" s="13" t="s">
        <v>13</v>
      </c>
      <c r="C11" s="10" t="s">
        <v>51</v>
      </c>
      <c r="D11" s="10" t="s">
        <v>52</v>
      </c>
      <c r="E11" s="25">
        <v>60</v>
      </c>
      <c r="F11" s="12">
        <v>27.24</v>
      </c>
      <c r="G11" s="12">
        <f>161*1.2</f>
        <v>193.2</v>
      </c>
      <c r="H11" s="12">
        <f>7.61*1.2</f>
        <v>9.1319999999999997</v>
      </c>
      <c r="I11" s="12">
        <f>11.07*1.2</f>
        <v>13.284000000000001</v>
      </c>
      <c r="J11" s="14">
        <f>7.66*1.2</f>
        <v>9.1920000000000002</v>
      </c>
    </row>
    <row r="12" spans="1:12" x14ac:dyDescent="0.25">
      <c r="A12" s="56"/>
      <c r="B12" s="13" t="s">
        <v>17</v>
      </c>
      <c r="C12" s="10" t="s">
        <v>53</v>
      </c>
      <c r="D12" s="10" t="s">
        <v>54</v>
      </c>
      <c r="E12" s="25">
        <v>100</v>
      </c>
      <c r="F12" s="12">
        <v>7.12</v>
      </c>
      <c r="G12" s="12">
        <f>1398*0.1</f>
        <v>139.80000000000001</v>
      </c>
      <c r="H12" s="12">
        <f>24.34*0.1</f>
        <v>2.4340000000000002</v>
      </c>
      <c r="I12" s="12">
        <f>35.83*0.1</f>
        <v>3.5830000000000002</v>
      </c>
      <c r="J12" s="14">
        <f>244.56*0.1</f>
        <v>24.456000000000003</v>
      </c>
    </row>
    <row r="13" spans="1:12" x14ac:dyDescent="0.25">
      <c r="A13" s="56"/>
      <c r="B13" s="13" t="s">
        <v>18</v>
      </c>
      <c r="C13" s="10" t="s">
        <v>19</v>
      </c>
      <c r="D13" s="10" t="s">
        <v>20</v>
      </c>
      <c r="E13" s="25" t="s">
        <v>55</v>
      </c>
      <c r="F13" s="12">
        <v>2.54</v>
      </c>
      <c r="G13" s="12">
        <v>60</v>
      </c>
      <c r="H13" s="12">
        <v>7.0000000000000007E-2</v>
      </c>
      <c r="I13" s="12">
        <v>0.02</v>
      </c>
      <c r="J13" s="14">
        <v>15</v>
      </c>
    </row>
    <row r="14" spans="1:12" ht="15.75" thickBot="1" x14ac:dyDescent="0.3">
      <c r="A14" s="56"/>
      <c r="B14" s="32" t="s">
        <v>14</v>
      </c>
      <c r="C14" s="33" t="s">
        <v>46</v>
      </c>
      <c r="D14" s="33" t="s">
        <v>47</v>
      </c>
      <c r="E14" s="34">
        <v>9.5</v>
      </c>
      <c r="F14" s="35">
        <v>0.32</v>
      </c>
      <c r="G14" s="35">
        <f>229.7*0.095</f>
        <v>21.8215</v>
      </c>
      <c r="H14" s="36">
        <f>6.7*0.095</f>
        <v>0.63650000000000007</v>
      </c>
      <c r="I14" s="36">
        <f>1.1*0.095</f>
        <v>0.10450000000000001</v>
      </c>
      <c r="J14" s="37">
        <f>48.3*0.095</f>
        <v>4.5884999999999998</v>
      </c>
    </row>
    <row r="15" spans="1:12" ht="16.5" thickBot="1" x14ac:dyDescent="0.3">
      <c r="A15" s="70" t="s">
        <v>15</v>
      </c>
      <c r="B15" s="71"/>
      <c r="C15" s="71"/>
      <c r="D15" s="71"/>
      <c r="E15" s="72"/>
      <c r="F15" s="43">
        <f>SUM(F10:F14)</f>
        <v>44.999999999999993</v>
      </c>
      <c r="G15" s="43">
        <f t="shared" ref="G15:J15" si="1">SUM(G10:G14)</f>
        <v>563.07150000000001</v>
      </c>
      <c r="H15" s="43">
        <f t="shared" si="1"/>
        <v>17.762500000000003</v>
      </c>
      <c r="I15" s="43">
        <f t="shared" si="1"/>
        <v>22.261500000000002</v>
      </c>
      <c r="J15" s="43">
        <f t="shared" si="1"/>
        <v>69.771500000000003</v>
      </c>
    </row>
    <row r="16" spans="1:12" ht="30" x14ac:dyDescent="0.25">
      <c r="A16" s="73" t="s">
        <v>32</v>
      </c>
      <c r="B16" s="38" t="s">
        <v>16</v>
      </c>
      <c r="C16" s="39" t="s">
        <v>48</v>
      </c>
      <c r="D16" s="39" t="s">
        <v>59</v>
      </c>
      <c r="E16" s="40" t="s">
        <v>58</v>
      </c>
      <c r="F16" s="41">
        <v>14.33</v>
      </c>
      <c r="G16" s="41">
        <f>593*0.25+220*0.1</f>
        <v>170.25</v>
      </c>
      <c r="H16" s="41">
        <f>21.96*0.25+16.8*0.1</f>
        <v>7.17</v>
      </c>
      <c r="I16" s="41">
        <f>21.08*0.25+17*0.1</f>
        <v>6.97</v>
      </c>
      <c r="J16" s="42">
        <f>66.14*0.25+0.2*0.1</f>
        <v>16.555</v>
      </c>
    </row>
    <row r="17" spans="1:10" x14ac:dyDescent="0.25">
      <c r="A17" s="73"/>
      <c r="B17" s="13" t="s">
        <v>13</v>
      </c>
      <c r="C17" s="10" t="s">
        <v>51</v>
      </c>
      <c r="D17" s="10" t="s">
        <v>52</v>
      </c>
      <c r="E17" s="25">
        <v>60</v>
      </c>
      <c r="F17" s="12">
        <v>27.24</v>
      </c>
      <c r="G17" s="12">
        <f>161*1.2</f>
        <v>193.2</v>
      </c>
      <c r="H17" s="12">
        <f>7.61*1.2</f>
        <v>9.1319999999999997</v>
      </c>
      <c r="I17" s="12">
        <f>11.07*1.2</f>
        <v>13.284000000000001</v>
      </c>
      <c r="J17" s="14">
        <f>7.66*1.2</f>
        <v>9.1920000000000002</v>
      </c>
    </row>
    <row r="18" spans="1:10" x14ac:dyDescent="0.25">
      <c r="A18" s="73"/>
      <c r="B18" s="13" t="s">
        <v>17</v>
      </c>
      <c r="C18" s="10" t="s">
        <v>53</v>
      </c>
      <c r="D18" s="10" t="s">
        <v>54</v>
      </c>
      <c r="E18" s="25">
        <v>150</v>
      </c>
      <c r="F18" s="12">
        <v>10.67</v>
      </c>
      <c r="G18" s="12">
        <f>1398*0.15</f>
        <v>209.7</v>
      </c>
      <c r="H18" s="12">
        <f>24.34*0.15</f>
        <v>3.6509999999999998</v>
      </c>
      <c r="I18" s="12">
        <f>35.83*0.15</f>
        <v>5.3744999999999994</v>
      </c>
      <c r="J18" s="14">
        <f>244.56*0.15</f>
        <v>36.683999999999997</v>
      </c>
    </row>
    <row r="19" spans="1:10" x14ac:dyDescent="0.25">
      <c r="A19" s="73"/>
      <c r="B19" s="13" t="s">
        <v>18</v>
      </c>
      <c r="C19" s="10" t="s">
        <v>19</v>
      </c>
      <c r="D19" s="10" t="s">
        <v>20</v>
      </c>
      <c r="E19" s="25" t="s">
        <v>55</v>
      </c>
      <c r="F19" s="12">
        <v>2.54</v>
      </c>
      <c r="G19" s="12">
        <v>60</v>
      </c>
      <c r="H19" s="12">
        <v>7.0000000000000007E-2</v>
      </c>
      <c r="I19" s="12">
        <v>0.02</v>
      </c>
      <c r="J19" s="14">
        <v>15</v>
      </c>
    </row>
    <row r="20" spans="1:10" x14ac:dyDescent="0.25">
      <c r="A20" s="73"/>
      <c r="B20" s="13" t="s">
        <v>14</v>
      </c>
      <c r="C20" s="10" t="s">
        <v>46</v>
      </c>
      <c r="D20" s="10" t="s">
        <v>47</v>
      </c>
      <c r="E20" s="25">
        <v>33.5</v>
      </c>
      <c r="F20" s="12">
        <v>3.98</v>
      </c>
      <c r="G20" s="12">
        <f>229.7*0.335</f>
        <v>76.9495</v>
      </c>
      <c r="H20" s="11">
        <f>6.7*0.335</f>
        <v>2.2445000000000004</v>
      </c>
      <c r="I20" s="11">
        <f>1.1*0.335</f>
        <v>0.36850000000000005</v>
      </c>
      <c r="J20" s="15">
        <f>48.3*0.335</f>
        <v>16.180499999999999</v>
      </c>
    </row>
    <row r="21" spans="1:10" ht="15.75" thickBot="1" x14ac:dyDescent="0.3">
      <c r="A21" s="74"/>
      <c r="B21" s="16" t="s">
        <v>22</v>
      </c>
      <c r="C21" s="17" t="s">
        <v>56</v>
      </c>
      <c r="D21" s="17" t="s">
        <v>57</v>
      </c>
      <c r="E21" s="26">
        <v>55</v>
      </c>
      <c r="F21" s="27">
        <v>10.74</v>
      </c>
      <c r="G21" s="27">
        <f>43*0.55</f>
        <v>23.650000000000002</v>
      </c>
      <c r="H21" s="27">
        <f>0.9*0.55</f>
        <v>0.49500000000000005</v>
      </c>
      <c r="I21" s="27">
        <f>0.2*0.55</f>
        <v>0.11000000000000001</v>
      </c>
      <c r="J21" s="31">
        <f>8.1*0.55</f>
        <v>4.4550000000000001</v>
      </c>
    </row>
    <row r="22" spans="1:10" ht="16.5" thickBot="1" x14ac:dyDescent="0.3">
      <c r="A22" s="58" t="s">
        <v>15</v>
      </c>
      <c r="B22" s="65"/>
      <c r="C22" s="65"/>
      <c r="D22" s="65"/>
      <c r="E22" s="75"/>
      <c r="F22" s="28">
        <f>SUM(F16:F21)</f>
        <v>69.5</v>
      </c>
      <c r="G22" s="28">
        <f t="shared" ref="G22:J22" si="2">SUM(G16:G21)</f>
        <v>733.74950000000001</v>
      </c>
      <c r="H22" s="28">
        <f t="shared" si="2"/>
        <v>22.762499999999999</v>
      </c>
      <c r="I22" s="28">
        <f t="shared" si="2"/>
        <v>26.127000000000002</v>
      </c>
      <c r="J22" s="28">
        <f t="shared" si="2"/>
        <v>98.066499999999991</v>
      </c>
    </row>
    <row r="23" spans="1:10" ht="15.75" x14ac:dyDescent="0.25">
      <c r="A23" s="55" t="s">
        <v>33</v>
      </c>
      <c r="B23" s="29" t="s">
        <v>34</v>
      </c>
      <c r="C23" s="30" t="s">
        <v>60</v>
      </c>
      <c r="D23" s="30" t="s">
        <v>61</v>
      </c>
      <c r="E23" s="44" t="s">
        <v>62</v>
      </c>
      <c r="F23" s="45">
        <v>14.55</v>
      </c>
      <c r="G23" s="46">
        <f>360*0.1+660*0.04+280*0.3</f>
        <v>146.4</v>
      </c>
      <c r="H23" s="46">
        <f>23.2*0.1+0.8*0.04+8*0.3</f>
        <v>4.7519999999999998</v>
      </c>
      <c r="I23" s="46">
        <f>29.5*0.1+72.5*0.04+3*0.3</f>
        <v>6.75</v>
      </c>
      <c r="J23" s="47">
        <f>0+1.3*0.04+54*0.3</f>
        <v>16.251999999999999</v>
      </c>
    </row>
    <row r="24" spans="1:10" x14ac:dyDescent="0.25">
      <c r="A24" s="56"/>
      <c r="B24" s="13" t="s">
        <v>18</v>
      </c>
      <c r="C24" s="10" t="s">
        <v>40</v>
      </c>
      <c r="D24" s="10" t="s">
        <v>41</v>
      </c>
      <c r="E24" s="25">
        <v>200</v>
      </c>
      <c r="F24" s="12">
        <v>7.64</v>
      </c>
      <c r="G24" s="12">
        <f>503*0.2</f>
        <v>100.60000000000001</v>
      </c>
      <c r="H24" s="12">
        <f>15.83*0.2</f>
        <v>3.1660000000000004</v>
      </c>
      <c r="I24" s="12">
        <f>13.39*0.2</f>
        <v>2.6780000000000004</v>
      </c>
      <c r="J24" s="14">
        <f>79.73*0.2</f>
        <v>15.946000000000002</v>
      </c>
    </row>
    <row r="25" spans="1:10" ht="15.75" thickBot="1" x14ac:dyDescent="0.3">
      <c r="A25" s="57"/>
      <c r="B25" s="16" t="s">
        <v>22</v>
      </c>
      <c r="C25" s="17" t="s">
        <v>23</v>
      </c>
      <c r="D25" s="17" t="s">
        <v>24</v>
      </c>
      <c r="E25" s="17">
        <v>185</v>
      </c>
      <c r="F25" s="18">
        <v>22.81</v>
      </c>
      <c r="G25" s="18">
        <f>47*1.85</f>
        <v>86.95</v>
      </c>
      <c r="H25" s="18">
        <f>0.4*1.85</f>
        <v>0.7400000000000001</v>
      </c>
      <c r="I25" s="18">
        <f>0.4*1.85</f>
        <v>0.7400000000000001</v>
      </c>
      <c r="J25" s="19">
        <f>9.8*1.85</f>
        <v>18.130000000000003</v>
      </c>
    </row>
    <row r="26" spans="1:10" ht="16.5" thickBot="1" x14ac:dyDescent="0.3">
      <c r="A26" s="58" t="s">
        <v>15</v>
      </c>
      <c r="B26" s="59"/>
      <c r="C26" s="59"/>
      <c r="D26" s="59"/>
      <c r="E26" s="60"/>
      <c r="F26" s="5">
        <f>SUM(F23:F25)</f>
        <v>45</v>
      </c>
      <c r="G26" s="5">
        <f t="shared" ref="G26:J26" si="3">SUM(G23:G25)</f>
        <v>333.95</v>
      </c>
      <c r="H26" s="5">
        <f t="shared" si="3"/>
        <v>8.6579999999999995</v>
      </c>
      <c r="I26" s="5">
        <f t="shared" si="3"/>
        <v>10.168000000000001</v>
      </c>
      <c r="J26" s="5">
        <f t="shared" si="3"/>
        <v>50.328000000000003</v>
      </c>
    </row>
    <row r="28" spans="1:10" ht="15.75" thickBot="1" x14ac:dyDescent="0.3">
      <c r="A28" s="66" t="s">
        <v>28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15.75" x14ac:dyDescent="0.25">
      <c r="A29" s="48"/>
      <c r="B29" s="48"/>
      <c r="C29" s="65" t="s">
        <v>26</v>
      </c>
      <c r="D29" s="65"/>
      <c r="G29" s="67"/>
      <c r="H29" s="67"/>
      <c r="I29" s="67"/>
      <c r="J29" s="67"/>
    </row>
    <row r="30" spans="1:10" x14ac:dyDescent="0.25">
      <c r="A30" s="1"/>
      <c r="B30" s="1"/>
      <c r="C30" s="1"/>
      <c r="D30" s="1"/>
    </row>
    <row r="31" spans="1:10" x14ac:dyDescent="0.25">
      <c r="A31" s="51" t="s">
        <v>27</v>
      </c>
      <c r="B31" s="51"/>
    </row>
    <row r="32" spans="1:10" x14ac:dyDescent="0.25">
      <c r="A32" s="51" t="s">
        <v>29</v>
      </c>
      <c r="B32" s="51"/>
    </row>
    <row r="33" spans="1:1" x14ac:dyDescent="0.25">
      <c r="A33" s="6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16:A21"/>
    <mergeCell ref="A22:E22"/>
    <mergeCell ref="A31:B31"/>
    <mergeCell ref="A32:B32"/>
    <mergeCell ref="A3:A8"/>
    <mergeCell ref="A23:A25"/>
    <mergeCell ref="A26:E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59C2-9B1A-44EA-93AC-D64E750D8022}">
  <dimension ref="A1:L36"/>
  <sheetViews>
    <sheetView topLeftCell="A7" workbookViewId="0">
      <selection activeCell="F29" sqref="F29:J29"/>
    </sheetView>
  </sheetViews>
  <sheetFormatPr defaultRowHeight="15" x14ac:dyDescent="0.25"/>
  <cols>
    <col min="1" max="1" width="39.425781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1" t="s">
        <v>25</v>
      </c>
      <c r="C1" s="62"/>
      <c r="D1" s="1" t="s">
        <v>1</v>
      </c>
      <c r="E1" s="2"/>
      <c r="F1" s="1" t="s">
        <v>2</v>
      </c>
      <c r="G1" s="63">
        <v>44452</v>
      </c>
      <c r="H1" s="64"/>
      <c r="I1" s="64"/>
      <c r="J1" s="64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52" t="s">
        <v>63</v>
      </c>
      <c r="B3" s="20" t="s">
        <v>34</v>
      </c>
      <c r="C3" s="21" t="s">
        <v>42</v>
      </c>
      <c r="D3" s="21" t="s">
        <v>43</v>
      </c>
      <c r="E3" s="22">
        <v>34</v>
      </c>
      <c r="F3" s="22">
        <v>26.79</v>
      </c>
      <c r="G3" s="23">
        <f>3.6*34</f>
        <v>122.4</v>
      </c>
      <c r="H3" s="23">
        <f>6.96/30*34</f>
        <v>7.8880000000000008</v>
      </c>
      <c r="I3" s="23">
        <f>8.85/30*34</f>
        <v>10.029999999999999</v>
      </c>
      <c r="J3" s="24">
        <f>0</f>
        <v>0</v>
      </c>
    </row>
    <row r="4" spans="1:12" ht="31.5" customHeight="1" x14ac:dyDescent="0.25">
      <c r="A4" s="53"/>
      <c r="B4" s="13" t="s">
        <v>34</v>
      </c>
      <c r="C4" s="10" t="s">
        <v>35</v>
      </c>
      <c r="D4" s="10" t="s">
        <v>37</v>
      </c>
      <c r="E4" s="25" t="s">
        <v>36</v>
      </c>
      <c r="F4" s="12">
        <v>9.34</v>
      </c>
      <c r="G4" s="12">
        <v>34.200000000000003</v>
      </c>
      <c r="H4" s="12">
        <f>13.12*0.05+3.1*0.1</f>
        <v>0.96600000000000008</v>
      </c>
      <c r="I4" s="12">
        <f>32.49*0.05+0.2*0.1</f>
        <v>1.6445000000000003</v>
      </c>
      <c r="J4" s="14">
        <f>64.66*0.05+6.5*0.1</f>
        <v>3.883</v>
      </c>
    </row>
    <row r="5" spans="1:12" x14ac:dyDescent="0.25">
      <c r="A5" s="53"/>
      <c r="B5" s="13" t="s">
        <v>13</v>
      </c>
      <c r="C5" s="10" t="s">
        <v>38</v>
      </c>
      <c r="D5" s="10" t="s">
        <v>39</v>
      </c>
      <c r="E5" s="25">
        <v>105</v>
      </c>
      <c r="F5" s="12">
        <v>18.27</v>
      </c>
      <c r="G5" s="12">
        <f>79*2</f>
        <v>158</v>
      </c>
      <c r="H5" s="12">
        <f>5.32*2</f>
        <v>10.64</v>
      </c>
      <c r="I5" s="12">
        <f>5.97*2</f>
        <v>11.94</v>
      </c>
      <c r="J5" s="14">
        <f>0.95*2</f>
        <v>1.9</v>
      </c>
    </row>
    <row r="6" spans="1:12" x14ac:dyDescent="0.25">
      <c r="A6" s="53"/>
      <c r="B6" s="13" t="s">
        <v>18</v>
      </c>
      <c r="C6" s="10" t="s">
        <v>40</v>
      </c>
      <c r="D6" s="10" t="s">
        <v>41</v>
      </c>
      <c r="E6" s="25">
        <v>200</v>
      </c>
      <c r="F6" s="12">
        <v>7.64</v>
      </c>
      <c r="G6" s="12">
        <f>503*0.2</f>
        <v>100.60000000000001</v>
      </c>
      <c r="H6" s="12">
        <f>15.83*0.2</f>
        <v>3.1660000000000004</v>
      </c>
      <c r="I6" s="12">
        <f>13.39*0.2</f>
        <v>2.6780000000000004</v>
      </c>
      <c r="J6" s="14">
        <f>79.73*0.2</f>
        <v>15.946000000000002</v>
      </c>
    </row>
    <row r="7" spans="1:12" x14ac:dyDescent="0.25">
      <c r="A7" s="53"/>
      <c r="B7" s="13" t="s">
        <v>21</v>
      </c>
      <c r="C7" s="10" t="s">
        <v>44</v>
      </c>
      <c r="D7" s="10" t="s">
        <v>45</v>
      </c>
      <c r="E7" s="25">
        <v>50</v>
      </c>
      <c r="F7" s="12">
        <v>6.29</v>
      </c>
      <c r="G7" s="12">
        <f>397.2/2</f>
        <v>198.6</v>
      </c>
      <c r="H7" s="11">
        <v>4.0999999999999996</v>
      </c>
      <c r="I7" s="11">
        <v>7.7</v>
      </c>
      <c r="J7" s="15">
        <v>28.2</v>
      </c>
    </row>
    <row r="8" spans="1:12" ht="15.75" thickBot="1" x14ac:dyDescent="0.3">
      <c r="A8" s="54"/>
      <c r="B8" s="16" t="s">
        <v>14</v>
      </c>
      <c r="C8" s="17" t="s">
        <v>46</v>
      </c>
      <c r="D8" s="17" t="s">
        <v>47</v>
      </c>
      <c r="E8" s="26">
        <v>34.5</v>
      </c>
      <c r="F8" s="27">
        <v>1.17</v>
      </c>
      <c r="G8" s="27">
        <f>229.7*0.345</f>
        <v>79.246499999999983</v>
      </c>
      <c r="H8" s="18">
        <f>6.7*0.345</f>
        <v>2.3114999999999997</v>
      </c>
      <c r="I8" s="18">
        <f>1.1*0.345</f>
        <v>0.3795</v>
      </c>
      <c r="J8" s="19">
        <f>48.3*0.345</f>
        <v>16.663499999999999</v>
      </c>
    </row>
    <row r="9" spans="1:12" ht="16.5" thickBot="1" x14ac:dyDescent="0.3">
      <c r="A9" s="58" t="s">
        <v>15</v>
      </c>
      <c r="B9" s="68"/>
      <c r="C9" s="68"/>
      <c r="D9" s="68"/>
      <c r="E9" s="69"/>
      <c r="F9" s="28">
        <f>SUM(F3:F8)</f>
        <v>69.5</v>
      </c>
      <c r="G9" s="28">
        <f t="shared" ref="G9:J9" si="0">SUM(G3:G8)</f>
        <v>693.04650000000004</v>
      </c>
      <c r="H9" s="28">
        <f t="shared" si="0"/>
        <v>29.071499999999997</v>
      </c>
      <c r="I9" s="28">
        <f t="shared" si="0"/>
        <v>34.372</v>
      </c>
      <c r="J9" s="28">
        <f t="shared" si="0"/>
        <v>66.592500000000001</v>
      </c>
    </row>
    <row r="10" spans="1:12" ht="15.75" thickTop="1" x14ac:dyDescent="0.25">
      <c r="A10" s="52" t="s">
        <v>64</v>
      </c>
      <c r="B10" s="20" t="s">
        <v>34</v>
      </c>
      <c r="C10" s="21" t="s">
        <v>66</v>
      </c>
      <c r="D10" s="21" t="s">
        <v>67</v>
      </c>
      <c r="E10" s="44" t="s">
        <v>65</v>
      </c>
      <c r="F10" s="22">
        <v>10.220000000000001</v>
      </c>
      <c r="G10" s="49">
        <f>660*0.08+280*0.3</f>
        <v>136.80000000000001</v>
      </c>
      <c r="H10" s="49">
        <f>0.8*0.08+8*0.3</f>
        <v>2.464</v>
      </c>
      <c r="I10" s="49">
        <f>72.5*0.08+3*0.3</f>
        <v>6.6999999999999993</v>
      </c>
      <c r="J10" s="50">
        <f>1.3*0.08+54*0.3</f>
        <v>16.303999999999998</v>
      </c>
    </row>
    <row r="11" spans="1:12" x14ac:dyDescent="0.25">
      <c r="A11" s="53"/>
      <c r="B11" s="13" t="s">
        <v>13</v>
      </c>
      <c r="C11" s="10" t="s">
        <v>38</v>
      </c>
      <c r="D11" s="10" t="s">
        <v>39</v>
      </c>
      <c r="E11" s="25">
        <v>82</v>
      </c>
      <c r="F11" s="12">
        <v>14.24</v>
      </c>
      <c r="G11" s="12">
        <f>79*1.5</f>
        <v>118.5</v>
      </c>
      <c r="H11" s="12">
        <f>5.32*1.5</f>
        <v>7.98</v>
      </c>
      <c r="I11" s="12">
        <f>5.97*1.5</f>
        <v>8.9550000000000001</v>
      </c>
      <c r="J11" s="14">
        <f>0.95*1.5</f>
        <v>1.4249999999999998</v>
      </c>
    </row>
    <row r="12" spans="1:12" ht="15.75" thickBot="1" x14ac:dyDescent="0.3">
      <c r="A12" s="53"/>
      <c r="B12" s="16" t="s">
        <v>18</v>
      </c>
      <c r="C12" s="17" t="s">
        <v>19</v>
      </c>
      <c r="D12" s="17" t="s">
        <v>20</v>
      </c>
      <c r="E12" s="26" t="s">
        <v>55</v>
      </c>
      <c r="F12" s="27">
        <v>2.54</v>
      </c>
      <c r="G12" s="27">
        <v>60</v>
      </c>
      <c r="H12" s="27">
        <v>7.0000000000000007E-2</v>
      </c>
      <c r="I12" s="27">
        <v>0.02</v>
      </c>
      <c r="J12" s="31">
        <v>15</v>
      </c>
    </row>
    <row r="13" spans="1:12" ht="16.5" thickBot="1" x14ac:dyDescent="0.3">
      <c r="A13" s="58" t="s">
        <v>15</v>
      </c>
      <c r="B13" s="68"/>
      <c r="C13" s="68"/>
      <c r="D13" s="68"/>
      <c r="E13" s="69"/>
      <c r="F13" s="28">
        <f>SUM(F10:F12)</f>
        <v>27</v>
      </c>
      <c r="G13" s="28">
        <f t="shared" ref="G13:J13" si="1">SUM(G10:G12)</f>
        <v>315.3</v>
      </c>
      <c r="H13" s="28">
        <f t="shared" si="1"/>
        <v>10.514000000000001</v>
      </c>
      <c r="I13" s="28">
        <f t="shared" si="1"/>
        <v>15.674999999999999</v>
      </c>
      <c r="J13" s="28">
        <f t="shared" si="1"/>
        <v>32.728999999999999</v>
      </c>
    </row>
    <row r="14" spans="1:12" ht="15.75" thickTop="1" x14ac:dyDescent="0.25">
      <c r="A14" s="52" t="s">
        <v>70</v>
      </c>
      <c r="B14" s="20" t="s">
        <v>34</v>
      </c>
      <c r="C14" s="21" t="s">
        <v>66</v>
      </c>
      <c r="D14" s="21" t="s">
        <v>67</v>
      </c>
      <c r="E14" s="44" t="s">
        <v>68</v>
      </c>
      <c r="F14" s="22">
        <v>4.46</v>
      </c>
      <c r="G14" s="49">
        <f>660*0.04+280*0.335</f>
        <v>120.20000000000002</v>
      </c>
      <c r="H14" s="49">
        <f>0.8*0.04+8*0.335</f>
        <v>2.7120000000000002</v>
      </c>
      <c r="I14" s="49">
        <f>72.5*0.04+3*0.335</f>
        <v>3.9050000000000002</v>
      </c>
      <c r="J14" s="50">
        <f>1.3*0.04+54*0.335</f>
        <v>18.141999999999999</v>
      </c>
    </row>
    <row r="15" spans="1:12" ht="15.75" thickBot="1" x14ac:dyDescent="0.3">
      <c r="A15" s="53"/>
      <c r="B15" s="16" t="s">
        <v>18</v>
      </c>
      <c r="C15" s="17" t="s">
        <v>19</v>
      </c>
      <c r="D15" s="17" t="s">
        <v>20</v>
      </c>
      <c r="E15" s="26" t="s">
        <v>55</v>
      </c>
      <c r="F15" s="27">
        <v>2.54</v>
      </c>
      <c r="G15" s="27">
        <v>60</v>
      </c>
      <c r="H15" s="27">
        <v>7.0000000000000007E-2</v>
      </c>
      <c r="I15" s="27">
        <v>0.02</v>
      </c>
      <c r="J15" s="31">
        <v>15</v>
      </c>
    </row>
    <row r="16" spans="1:12" ht="16.5" thickBot="1" x14ac:dyDescent="0.3">
      <c r="A16" s="58" t="s">
        <v>15</v>
      </c>
      <c r="B16" s="68"/>
      <c r="C16" s="68"/>
      <c r="D16" s="68"/>
      <c r="E16" s="69"/>
      <c r="F16" s="28">
        <f>SUM(F14:F15)</f>
        <v>7</v>
      </c>
      <c r="G16" s="28">
        <f t="shared" ref="G16:J16" si="2">SUM(G14:G15)</f>
        <v>180.20000000000002</v>
      </c>
      <c r="H16" s="28">
        <f t="shared" si="2"/>
        <v>2.782</v>
      </c>
      <c r="I16" s="28">
        <f t="shared" si="2"/>
        <v>3.9250000000000003</v>
      </c>
      <c r="J16" s="28">
        <f t="shared" si="2"/>
        <v>33.141999999999996</v>
      </c>
    </row>
    <row r="17" spans="1:10" x14ac:dyDescent="0.25">
      <c r="A17" s="55" t="s">
        <v>69</v>
      </c>
      <c r="B17" s="29" t="s">
        <v>16</v>
      </c>
      <c r="C17" s="30" t="s">
        <v>48</v>
      </c>
      <c r="D17" s="30" t="s">
        <v>49</v>
      </c>
      <c r="E17" s="22" t="s">
        <v>50</v>
      </c>
      <c r="F17" s="23">
        <v>7.78</v>
      </c>
      <c r="G17" s="23">
        <f>593*0.25</f>
        <v>148.25</v>
      </c>
      <c r="H17" s="23">
        <f>21.96*0.25</f>
        <v>5.49</v>
      </c>
      <c r="I17" s="23">
        <f>21.08*0.25</f>
        <v>5.27</v>
      </c>
      <c r="J17" s="24">
        <f>66.14*0.25</f>
        <v>16.535</v>
      </c>
    </row>
    <row r="18" spans="1:10" x14ac:dyDescent="0.25">
      <c r="A18" s="56"/>
      <c r="B18" s="13" t="s">
        <v>13</v>
      </c>
      <c r="C18" s="10" t="s">
        <v>51</v>
      </c>
      <c r="D18" s="10" t="s">
        <v>52</v>
      </c>
      <c r="E18" s="25">
        <v>60</v>
      </c>
      <c r="F18" s="12">
        <v>27.24</v>
      </c>
      <c r="G18" s="12">
        <f>161*1.2</f>
        <v>193.2</v>
      </c>
      <c r="H18" s="12">
        <f>7.61*1.2</f>
        <v>9.1319999999999997</v>
      </c>
      <c r="I18" s="12">
        <f>11.07*1.2</f>
        <v>13.284000000000001</v>
      </c>
      <c r="J18" s="14">
        <f>7.66*1.2</f>
        <v>9.1920000000000002</v>
      </c>
    </row>
    <row r="19" spans="1:10" x14ac:dyDescent="0.25">
      <c r="A19" s="56"/>
      <c r="B19" s="13" t="s">
        <v>17</v>
      </c>
      <c r="C19" s="10" t="s">
        <v>53</v>
      </c>
      <c r="D19" s="10" t="s">
        <v>54</v>
      </c>
      <c r="E19" s="25">
        <v>100</v>
      </c>
      <c r="F19" s="12">
        <v>7.12</v>
      </c>
      <c r="G19" s="12">
        <f>1398*0.1</f>
        <v>139.80000000000001</v>
      </c>
      <c r="H19" s="12">
        <f>24.34*0.1</f>
        <v>2.4340000000000002</v>
      </c>
      <c r="I19" s="12">
        <f>35.83*0.1</f>
        <v>3.5830000000000002</v>
      </c>
      <c r="J19" s="14">
        <f>244.56*0.1</f>
        <v>24.456000000000003</v>
      </c>
    </row>
    <row r="20" spans="1:10" x14ac:dyDescent="0.25">
      <c r="A20" s="56"/>
      <c r="B20" s="13" t="s">
        <v>18</v>
      </c>
      <c r="C20" s="10" t="s">
        <v>19</v>
      </c>
      <c r="D20" s="10" t="s">
        <v>20</v>
      </c>
      <c r="E20" s="25" t="s">
        <v>55</v>
      </c>
      <c r="F20" s="12">
        <v>2.54</v>
      </c>
      <c r="G20" s="12">
        <v>60</v>
      </c>
      <c r="H20" s="12">
        <v>7.0000000000000007E-2</v>
      </c>
      <c r="I20" s="12">
        <v>0.02</v>
      </c>
      <c r="J20" s="14">
        <v>15</v>
      </c>
    </row>
    <row r="21" spans="1:10" ht="15.75" thickBot="1" x14ac:dyDescent="0.3">
      <c r="A21" s="56"/>
      <c r="B21" s="32" t="s">
        <v>14</v>
      </c>
      <c r="C21" s="33" t="s">
        <v>46</v>
      </c>
      <c r="D21" s="33" t="s">
        <v>47</v>
      </c>
      <c r="E21" s="34">
        <v>9.5</v>
      </c>
      <c r="F21" s="35">
        <v>0.32</v>
      </c>
      <c r="G21" s="35">
        <f>229.7*0.095</f>
        <v>21.8215</v>
      </c>
      <c r="H21" s="36">
        <f>6.7*0.095</f>
        <v>0.63650000000000007</v>
      </c>
      <c r="I21" s="36">
        <f>1.1*0.095</f>
        <v>0.10450000000000001</v>
      </c>
      <c r="J21" s="37">
        <f>48.3*0.095</f>
        <v>4.5884999999999998</v>
      </c>
    </row>
    <row r="22" spans="1:10" ht="16.5" thickBot="1" x14ac:dyDescent="0.3">
      <c r="A22" s="70" t="s">
        <v>15</v>
      </c>
      <c r="B22" s="71"/>
      <c r="C22" s="71"/>
      <c r="D22" s="71"/>
      <c r="E22" s="72"/>
      <c r="F22" s="43">
        <f>SUM(F17:F21)</f>
        <v>44.999999999999993</v>
      </c>
      <c r="G22" s="43">
        <f t="shared" ref="G22:J22" si="3">SUM(G17:G21)</f>
        <v>563.07150000000001</v>
      </c>
      <c r="H22" s="43">
        <f t="shared" si="3"/>
        <v>17.762500000000003</v>
      </c>
      <c r="I22" s="43">
        <f t="shared" si="3"/>
        <v>22.261500000000002</v>
      </c>
      <c r="J22" s="43">
        <f t="shared" si="3"/>
        <v>69.771500000000003</v>
      </c>
    </row>
    <row r="23" spans="1:10" ht="30" x14ac:dyDescent="0.25">
      <c r="A23" s="73" t="s">
        <v>71</v>
      </c>
      <c r="B23" s="38" t="s">
        <v>16</v>
      </c>
      <c r="C23" s="39" t="s">
        <v>48</v>
      </c>
      <c r="D23" s="39" t="s">
        <v>59</v>
      </c>
      <c r="E23" s="40" t="s">
        <v>58</v>
      </c>
      <c r="F23" s="41">
        <v>14.33</v>
      </c>
      <c r="G23" s="41">
        <f>593*0.25+220*0.1</f>
        <v>170.25</v>
      </c>
      <c r="H23" s="41">
        <f>21.96*0.25+16.8*0.1</f>
        <v>7.17</v>
      </c>
      <c r="I23" s="41">
        <f>21.08*0.25+17*0.1</f>
        <v>6.97</v>
      </c>
      <c r="J23" s="42">
        <f>66.14*0.25+0.2*0.1</f>
        <v>16.555</v>
      </c>
    </row>
    <row r="24" spans="1:10" x14ac:dyDescent="0.25">
      <c r="A24" s="73"/>
      <c r="B24" s="13" t="s">
        <v>13</v>
      </c>
      <c r="C24" s="10" t="s">
        <v>51</v>
      </c>
      <c r="D24" s="10" t="s">
        <v>52</v>
      </c>
      <c r="E24" s="25">
        <v>60</v>
      </c>
      <c r="F24" s="12">
        <v>27.24</v>
      </c>
      <c r="G24" s="12">
        <f>161*1.2</f>
        <v>193.2</v>
      </c>
      <c r="H24" s="12">
        <f>7.61*1.2</f>
        <v>9.1319999999999997</v>
      </c>
      <c r="I24" s="12">
        <f>11.07*1.2</f>
        <v>13.284000000000001</v>
      </c>
      <c r="J24" s="14">
        <f>7.66*1.2</f>
        <v>9.1920000000000002</v>
      </c>
    </row>
    <row r="25" spans="1:10" x14ac:dyDescent="0.25">
      <c r="A25" s="73"/>
      <c r="B25" s="13" t="s">
        <v>17</v>
      </c>
      <c r="C25" s="10" t="s">
        <v>53</v>
      </c>
      <c r="D25" s="10" t="s">
        <v>54</v>
      </c>
      <c r="E25" s="25">
        <v>150</v>
      </c>
      <c r="F25" s="12">
        <v>10.67</v>
      </c>
      <c r="G25" s="12">
        <f>1398*0.15</f>
        <v>209.7</v>
      </c>
      <c r="H25" s="12">
        <f>24.34*0.15</f>
        <v>3.6509999999999998</v>
      </c>
      <c r="I25" s="12">
        <f>35.83*0.15</f>
        <v>5.3744999999999994</v>
      </c>
      <c r="J25" s="14">
        <f>244.56*0.15</f>
        <v>36.683999999999997</v>
      </c>
    </row>
    <row r="26" spans="1:10" x14ac:dyDescent="0.25">
      <c r="A26" s="73"/>
      <c r="B26" s="13" t="s">
        <v>18</v>
      </c>
      <c r="C26" s="10" t="s">
        <v>19</v>
      </c>
      <c r="D26" s="10" t="s">
        <v>20</v>
      </c>
      <c r="E26" s="25" t="s">
        <v>55</v>
      </c>
      <c r="F26" s="12">
        <v>2.54</v>
      </c>
      <c r="G26" s="12">
        <v>60</v>
      </c>
      <c r="H26" s="12">
        <v>7.0000000000000007E-2</v>
      </c>
      <c r="I26" s="12">
        <v>0.02</v>
      </c>
      <c r="J26" s="14">
        <v>15</v>
      </c>
    </row>
    <row r="27" spans="1:10" x14ac:dyDescent="0.25">
      <c r="A27" s="73"/>
      <c r="B27" s="13" t="s">
        <v>14</v>
      </c>
      <c r="C27" s="10" t="s">
        <v>46</v>
      </c>
      <c r="D27" s="10" t="s">
        <v>47</v>
      </c>
      <c r="E27" s="25">
        <v>33.5</v>
      </c>
      <c r="F27" s="12">
        <v>3.98</v>
      </c>
      <c r="G27" s="12">
        <f>229.7*0.335</f>
        <v>76.9495</v>
      </c>
      <c r="H27" s="11">
        <f>6.7*0.335</f>
        <v>2.2445000000000004</v>
      </c>
      <c r="I27" s="11">
        <f>1.1*0.335</f>
        <v>0.36850000000000005</v>
      </c>
      <c r="J27" s="15">
        <f>48.3*0.335</f>
        <v>16.180499999999999</v>
      </c>
    </row>
    <row r="28" spans="1:10" ht="15.75" thickBot="1" x14ac:dyDescent="0.3">
      <c r="A28" s="73"/>
      <c r="B28" s="32" t="s">
        <v>22</v>
      </c>
      <c r="C28" s="33" t="s">
        <v>56</v>
      </c>
      <c r="D28" s="33" t="s">
        <v>57</v>
      </c>
      <c r="E28" s="34">
        <v>55</v>
      </c>
      <c r="F28" s="35">
        <v>10.74</v>
      </c>
      <c r="G28" s="35">
        <f>43*0.55</f>
        <v>23.650000000000002</v>
      </c>
      <c r="H28" s="35">
        <f>0.9*0.55</f>
        <v>0.49500000000000005</v>
      </c>
      <c r="I28" s="35">
        <f>0.2*0.55</f>
        <v>0.11000000000000001</v>
      </c>
      <c r="J28" s="76">
        <f>8.1*0.55</f>
        <v>4.4550000000000001</v>
      </c>
    </row>
    <row r="29" spans="1:10" ht="16.5" thickBot="1" x14ac:dyDescent="0.3">
      <c r="A29" s="70" t="s">
        <v>15</v>
      </c>
      <c r="B29" s="71"/>
      <c r="C29" s="71"/>
      <c r="D29" s="71"/>
      <c r="E29" s="72"/>
      <c r="F29" s="43">
        <f>SUM(F23:F28)</f>
        <v>69.5</v>
      </c>
      <c r="G29" s="43">
        <f t="shared" ref="G29:J29" si="4">SUM(G23:G28)</f>
        <v>733.74950000000001</v>
      </c>
      <c r="H29" s="43">
        <f t="shared" si="4"/>
        <v>22.762499999999999</v>
      </c>
      <c r="I29" s="43">
        <f t="shared" si="4"/>
        <v>26.127000000000002</v>
      </c>
      <c r="J29" s="43">
        <f t="shared" si="4"/>
        <v>98.066499999999991</v>
      </c>
    </row>
    <row r="31" spans="1:10" ht="15.75" thickBot="1" x14ac:dyDescent="0.3">
      <c r="A31" s="66" t="s">
        <v>28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0" ht="15.75" x14ac:dyDescent="0.25">
      <c r="A32" s="48"/>
      <c r="B32" s="48"/>
      <c r="C32" s="65" t="s">
        <v>26</v>
      </c>
      <c r="D32" s="65"/>
      <c r="G32" s="67"/>
      <c r="H32" s="67"/>
      <c r="I32" s="67"/>
      <c r="J32" s="67"/>
    </row>
    <row r="33" spans="1:4" x14ac:dyDescent="0.25">
      <c r="A33" s="1"/>
      <c r="B33" s="1"/>
      <c r="C33" s="1"/>
      <c r="D33" s="1"/>
    </row>
    <row r="34" spans="1:4" x14ac:dyDescent="0.25">
      <c r="A34" s="51" t="s">
        <v>27</v>
      </c>
      <c r="B34" s="51"/>
    </row>
    <row r="35" spans="1:4" x14ac:dyDescent="0.25">
      <c r="A35" s="51" t="s">
        <v>29</v>
      </c>
      <c r="B35" s="51"/>
    </row>
    <row r="36" spans="1:4" x14ac:dyDescent="0.25">
      <c r="A36" s="6"/>
    </row>
  </sheetData>
  <mergeCells count="17">
    <mergeCell ref="B1:C1"/>
    <mergeCell ref="G1:J1"/>
    <mergeCell ref="A3:A8"/>
    <mergeCell ref="A9:E9"/>
    <mergeCell ref="A17:A21"/>
    <mergeCell ref="A34:B34"/>
    <mergeCell ref="A35:B35"/>
    <mergeCell ref="A10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13.09 1-4 кл</vt:lpstr>
      <vt:lpstr>13.09 5-11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2021-09-19T10:47:36Z</dcterms:modified>
</cp:coreProperties>
</file>