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B785EDE-BEA2-41A1-B56B-24A2620ACA1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4.09 1-4 кл" sheetId="1" r:id="rId1"/>
    <sheet name="14.09 5-11 кл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5" i="1"/>
  <c r="I15" i="1"/>
  <c r="J15" i="1"/>
  <c r="G15" i="1"/>
  <c r="G29" i="2"/>
  <c r="H29" i="2"/>
  <c r="I29" i="2"/>
  <c r="J29" i="2"/>
  <c r="F29" i="2"/>
  <c r="G22" i="2"/>
  <c r="H22" i="2"/>
  <c r="I22" i="2"/>
  <c r="J22" i="2"/>
  <c r="F22" i="2"/>
  <c r="G16" i="2"/>
  <c r="H16" i="2"/>
  <c r="I16" i="2"/>
  <c r="J16" i="2"/>
  <c r="F16" i="2"/>
  <c r="G13" i="2"/>
  <c r="H13" i="2"/>
  <c r="I13" i="2"/>
  <c r="J13" i="2"/>
  <c r="F13" i="2"/>
  <c r="G8" i="2"/>
  <c r="H8" i="2"/>
  <c r="I8" i="2"/>
  <c r="J8" i="2"/>
  <c r="F8" i="2"/>
  <c r="G25" i="1"/>
  <c r="H25" i="1"/>
  <c r="I25" i="1"/>
  <c r="J25" i="1"/>
  <c r="F25" i="1"/>
  <c r="F22" i="1"/>
  <c r="F15" i="1"/>
  <c r="G9" i="1"/>
  <c r="H9" i="1"/>
  <c r="I9" i="1"/>
  <c r="J9" i="1"/>
  <c r="F9" i="1"/>
  <c r="J28" i="2" l="1"/>
  <c r="I28" i="2"/>
  <c r="H28" i="2"/>
  <c r="G28" i="2"/>
  <c r="G27" i="2"/>
  <c r="J25" i="2"/>
  <c r="I25" i="2"/>
  <c r="H25" i="2"/>
  <c r="G25" i="2"/>
  <c r="J24" i="2"/>
  <c r="I24" i="2"/>
  <c r="H24" i="2"/>
  <c r="G24" i="2"/>
  <c r="J23" i="2"/>
  <c r="I23" i="2"/>
  <c r="H23" i="2"/>
  <c r="G23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J12" i="2"/>
  <c r="I12" i="2"/>
  <c r="H12" i="2"/>
  <c r="G12" i="2"/>
  <c r="G11" i="2"/>
  <c r="J9" i="2"/>
  <c r="I9" i="2"/>
  <c r="H9" i="2"/>
  <c r="G9" i="2"/>
  <c r="J7" i="2"/>
  <c r="I7" i="2"/>
  <c r="H7" i="2"/>
  <c r="G7" i="2"/>
  <c r="J6" i="2"/>
  <c r="I6" i="2"/>
  <c r="H6" i="2"/>
  <c r="G6" i="2"/>
  <c r="J4" i="2"/>
  <c r="I4" i="2"/>
  <c r="H4" i="2"/>
  <c r="G4" i="2"/>
  <c r="J3" i="2"/>
  <c r="I3" i="2"/>
  <c r="H3" i="2"/>
  <c r="G3" i="2"/>
  <c r="J24" i="1"/>
  <c r="I24" i="1"/>
  <c r="H24" i="1"/>
  <c r="G24" i="1"/>
  <c r="J21" i="1"/>
  <c r="I21" i="1"/>
  <c r="H21" i="1"/>
  <c r="G21" i="1"/>
  <c r="G20" i="1"/>
  <c r="J18" i="1"/>
  <c r="I18" i="1"/>
  <c r="H18" i="1"/>
  <c r="G18" i="1"/>
  <c r="J17" i="1"/>
  <c r="I17" i="1"/>
  <c r="H17" i="1"/>
  <c r="G17" i="1"/>
  <c r="J14" i="1"/>
  <c r="I14" i="1"/>
  <c r="H14" i="1"/>
  <c r="G14" i="1"/>
  <c r="J12" i="1"/>
  <c r="I12" i="1"/>
  <c r="H12" i="1"/>
  <c r="G12" i="1"/>
  <c r="J11" i="1"/>
  <c r="I11" i="1"/>
  <c r="H11" i="1"/>
  <c r="G11" i="1"/>
  <c r="J16" i="1"/>
  <c r="I16" i="1"/>
  <c r="H16" i="1"/>
  <c r="G16" i="1"/>
  <c r="J10" i="1"/>
  <c r="I10" i="1"/>
  <c r="H10" i="1"/>
  <c r="G10" i="1"/>
  <c r="J8" i="1"/>
  <c r="I8" i="1"/>
  <c r="H8" i="1"/>
  <c r="G8" i="1"/>
  <c r="J5" i="1"/>
  <c r="I5" i="1"/>
  <c r="H5" i="1"/>
  <c r="G5" i="1"/>
  <c r="J4" i="1"/>
  <c r="I4" i="1"/>
  <c r="H4" i="1"/>
  <c r="G4" i="1"/>
  <c r="J14" i="2" l="1"/>
  <c r="I14" i="2"/>
  <c r="H14" i="2"/>
  <c r="G14" i="2"/>
  <c r="G7" i="1" l="1"/>
</calcChain>
</file>

<file path=xl/sharedStrings.xml><?xml version="1.0" encoding="utf-8"?>
<sst xmlns="http://schemas.openxmlformats.org/spreadsheetml/2006/main" count="193" uniqueCount="71">
  <si>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</si>
  <si>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</si>
  <si>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</si>
  <si>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</si>
  <si>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</si>
  <si>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</si>
  <si>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</si>
  <si>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</si>
  <si>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</si>
  <si>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</si>
  <si>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</si>
  <si>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</si>
  <si>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</si>
  <si>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</si>
  <si>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</si>
  <si>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</si>
  <si>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</si>
  <si>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</si>
  <si>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</si>
  <si>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</si>
  <si>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</si>
  <si>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</si>
  <si>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</si>
  <si>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</si>
  <si>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</si>
  <si>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</si>
  <si>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</si>
  <si>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</si>
  <si>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</si>
  <si>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</si>
  <si>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</si>
  <si>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</si>
  <si>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 №6</t>
  </si>
  <si>
    <t>Булочка "Рулетик с маком"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</si>
  <si>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</si>
  <si>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</si>
  <si>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</si>
  <si>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</si>
  <si>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</si>
  <si>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</si>
  <si>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>№1-2015г.</t>
  </si>
  <si>
    <t>Бутерброд с маслом</t>
  </si>
  <si>
    <t>4/33,5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</si>
  <si>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</si>
  <si>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</si>
  <si>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</si>
  <si>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№14-2015г.</t>
  </si>
  <si>
    <t>Масло сливочное (порциями)</t>
  </si>
  <si>
    <t>№269-2015г.</t>
  </si>
  <si>
    <t>Котлета (особая) из говядины и свинины</t>
  </si>
  <si>
    <t>№321-2015г.</t>
  </si>
  <si>
    <t>Капуста тушёная</t>
  </si>
  <si>
    <t>№686-2004г.</t>
  </si>
  <si>
    <t>Чай с лимоном</t>
  </si>
  <si>
    <t>200/15/7</t>
  </si>
  <si>
    <t>№82-2015г.</t>
  </si>
  <si>
    <t>Борщ с капустой и картофелем со сметаной и зеленью</t>
  </si>
  <si>
    <t>ТТК №48</t>
  </si>
  <si>
    <t>Филе цыплёнка тушёное</t>
  </si>
  <si>
    <t>25/25</t>
  </si>
  <si>
    <t>№302-2015г.</t>
  </si>
  <si>
    <t>Каша рассыпчатая гречневая</t>
  </si>
  <si>
    <t>35/35</t>
  </si>
  <si>
    <t>Напиток</t>
  </si>
  <si>
    <t>ТТК №89</t>
  </si>
  <si>
    <t>Напиток ягодный (из компотной смеси)</t>
  </si>
  <si>
    <t>ПР</t>
  </si>
  <si>
    <t>200</t>
  </si>
  <si>
    <t>Кондитерское изделие</t>
  </si>
  <si>
    <t>Пряник шоколадный</t>
  </si>
  <si>
    <t>Молочный коктейль "Авишка" 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</si>
</sst>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2" fontId="2" fillId="0" borderId="33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0" fontId="1" fillId="0" borderId="0" xfId="0" applyFont="1"/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7" workbookViewId="0">
      <selection activeCell="G22" sqref="G22:J22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59" t="s">
        <v>22</v>
      </c>
      <c r="C1" s="60"/>
      <c r="D1" s="1" t="s">
        <v>1</v>
      </c>
      <c r="E1" s="2"/>
      <c r="F1" s="1" t="s">
        <v>2</v>
      </c>
      <c r="G1" s="61">
        <v>44453</v>
      </c>
      <c r="H1" s="62"/>
      <c r="I1" s="62"/>
      <c r="J1" s="62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ht="15.75" thickTop="1" x14ac:dyDescent="0.25">
      <c r="A3" s="76" t="s">
        <v>27</v>
      </c>
      <c r="B3" s="20" t="s">
        <v>31</v>
      </c>
      <c r="C3" s="21" t="s">
        <v>46</v>
      </c>
      <c r="D3" s="21" t="s">
        <v>47</v>
      </c>
      <c r="E3" s="22">
        <v>5</v>
      </c>
      <c r="F3" s="22">
        <v>4.51</v>
      </c>
      <c r="G3" s="23">
        <v>33</v>
      </c>
      <c r="H3" s="23">
        <v>0.04</v>
      </c>
      <c r="I3" s="23">
        <v>3.63</v>
      </c>
      <c r="J3" s="24">
        <v>7.0000000000000007E-2</v>
      </c>
    </row>
    <row r="4" spans="1:12" ht="31.5" customHeight="1" x14ac:dyDescent="0.25">
      <c r="A4" s="77"/>
      <c r="B4" s="13" t="s">
        <v>13</v>
      </c>
      <c r="C4" s="10" t="s">
        <v>48</v>
      </c>
      <c r="D4" s="10" t="s">
        <v>49</v>
      </c>
      <c r="E4" s="25">
        <v>70</v>
      </c>
      <c r="F4" s="12">
        <v>39.79</v>
      </c>
      <c r="G4" s="12">
        <f>144*1.4</f>
        <v>201.6</v>
      </c>
      <c r="H4" s="12">
        <f>8.37*1.4</f>
        <v>11.717999999999998</v>
      </c>
      <c r="I4" s="12">
        <f>9.17*1.4</f>
        <v>12.837999999999999</v>
      </c>
      <c r="J4" s="14">
        <f>6.56*1.4</f>
        <v>9.1839999999999993</v>
      </c>
    </row>
    <row r="5" spans="1:12" x14ac:dyDescent="0.25">
      <c r="A5" s="77"/>
      <c r="B5" s="13" t="s">
        <v>17</v>
      </c>
      <c r="C5" s="10" t="s">
        <v>50</v>
      </c>
      <c r="D5" s="10" t="s">
        <v>51</v>
      </c>
      <c r="E5" s="25">
        <v>130</v>
      </c>
      <c r="F5" s="12">
        <v>12.07</v>
      </c>
      <c r="G5" s="12">
        <f>751*0.13</f>
        <v>97.63000000000001</v>
      </c>
      <c r="H5" s="12">
        <f>20.65*0.13</f>
        <v>2.6844999999999999</v>
      </c>
      <c r="I5" s="12">
        <f>32.37*0.13</f>
        <v>4.2081</v>
      </c>
      <c r="J5" s="14">
        <f>94.27*0.13</f>
        <v>12.255100000000001</v>
      </c>
    </row>
    <row r="6" spans="1:12" x14ac:dyDescent="0.25">
      <c r="A6" s="77"/>
      <c r="B6" s="13" t="s">
        <v>18</v>
      </c>
      <c r="C6" s="10" t="s">
        <v>52</v>
      </c>
      <c r="D6" s="10" t="s">
        <v>53</v>
      </c>
      <c r="E6" s="25" t="s">
        <v>54</v>
      </c>
      <c r="F6" s="12">
        <v>5.47</v>
      </c>
      <c r="G6" s="12">
        <v>62</v>
      </c>
      <c r="H6" s="12">
        <v>0.13</v>
      </c>
      <c r="I6" s="12">
        <v>0.02</v>
      </c>
      <c r="J6" s="14">
        <v>15.2</v>
      </c>
    </row>
    <row r="7" spans="1:12" x14ac:dyDescent="0.25">
      <c r="A7" s="77"/>
      <c r="B7" s="13" t="s">
        <v>21</v>
      </c>
      <c r="C7" s="10" t="s">
        <v>32</v>
      </c>
      <c r="D7" s="10" t="s">
        <v>33</v>
      </c>
      <c r="E7" s="25">
        <v>50</v>
      </c>
      <c r="F7" s="12">
        <v>6.31</v>
      </c>
      <c r="G7" s="12">
        <f>397.2/2</f>
        <v>198.6</v>
      </c>
      <c r="H7" s="11">
        <v>4.0999999999999996</v>
      </c>
      <c r="I7" s="11">
        <v>7.7</v>
      </c>
      <c r="J7" s="15">
        <v>28.2</v>
      </c>
    </row>
    <row r="8" spans="1:12" ht="15.75" thickBot="1" x14ac:dyDescent="0.3">
      <c r="A8" s="78"/>
      <c r="B8" s="16" t="s">
        <v>14</v>
      </c>
      <c r="C8" s="17" t="s">
        <v>34</v>
      </c>
      <c r="D8" s="17" t="s">
        <v>35</v>
      </c>
      <c r="E8" s="26">
        <v>39.5</v>
      </c>
      <c r="F8" s="27">
        <v>1.35</v>
      </c>
      <c r="G8" s="27">
        <f>229.7*0.395</f>
        <v>90.731499999999997</v>
      </c>
      <c r="H8" s="18">
        <f>6.7*0.395</f>
        <v>2.6465000000000001</v>
      </c>
      <c r="I8" s="18">
        <f>1.1*0.395</f>
        <v>0.43450000000000005</v>
      </c>
      <c r="J8" s="19">
        <f>48.3*0.395</f>
        <v>19.078499999999998</v>
      </c>
    </row>
    <row r="9" spans="1:12" ht="16.5" thickBot="1" x14ac:dyDescent="0.3">
      <c r="A9" s="66" t="s">
        <v>15</v>
      </c>
      <c r="B9" s="67"/>
      <c r="C9" s="67"/>
      <c r="D9" s="67"/>
      <c r="E9" s="68"/>
      <c r="F9" s="28">
        <f>SUM(F3:F8)</f>
        <v>69.499999999999986</v>
      </c>
      <c r="G9" s="28">
        <f t="shared" ref="G9:J9" si="0">SUM(G3:G8)</f>
        <v>683.56150000000002</v>
      </c>
      <c r="H9" s="28">
        <f t="shared" si="0"/>
        <v>21.318999999999999</v>
      </c>
      <c r="I9" s="28">
        <f t="shared" si="0"/>
        <v>28.830599999999997</v>
      </c>
      <c r="J9" s="28">
        <f t="shared" si="0"/>
        <v>83.987599999999986</v>
      </c>
    </row>
    <row r="10" spans="1:12" ht="30" x14ac:dyDescent="0.25">
      <c r="A10" s="69" t="s">
        <v>28</v>
      </c>
      <c r="B10" s="29" t="s">
        <v>16</v>
      </c>
      <c r="C10" s="30" t="s">
        <v>55</v>
      </c>
      <c r="D10" s="30" t="s">
        <v>56</v>
      </c>
      <c r="E10" s="22" t="s">
        <v>37</v>
      </c>
      <c r="F10" s="23">
        <v>11.5</v>
      </c>
      <c r="G10" s="23">
        <f>415*0.25+162*0.1</f>
        <v>119.95</v>
      </c>
      <c r="H10" s="23">
        <f>7.21*0.25+2.6*0.1</f>
        <v>2.0625</v>
      </c>
      <c r="I10" s="23">
        <f>19.68*0.25+15*0.1</f>
        <v>6.42</v>
      </c>
      <c r="J10" s="24">
        <f>43.73*0.25+3.6*0.1</f>
        <v>11.292499999999999</v>
      </c>
      <c r="K10"/>
    </row>
    <row r="11" spans="1:12" x14ac:dyDescent="0.25">
      <c r="A11" s="70"/>
      <c r="B11" s="13" t="s">
        <v>13</v>
      </c>
      <c r="C11" s="10" t="s">
        <v>57</v>
      </c>
      <c r="D11" s="10" t="s">
        <v>58</v>
      </c>
      <c r="E11" s="25" t="s">
        <v>59</v>
      </c>
      <c r="F11" s="12">
        <v>20.48</v>
      </c>
      <c r="G11" s="45">
        <f>151.2*0.5</f>
        <v>75.599999999999994</v>
      </c>
      <c r="H11" s="45">
        <f>15.6*0.5</f>
        <v>7.8</v>
      </c>
      <c r="I11" s="45">
        <f>8.4*0.5</f>
        <v>4.2</v>
      </c>
      <c r="J11" s="46">
        <f>3.3*0.5</f>
        <v>1.65</v>
      </c>
      <c r="K11"/>
    </row>
    <row r="12" spans="1:12" x14ac:dyDescent="0.25">
      <c r="A12" s="70"/>
      <c r="B12" s="13" t="s">
        <v>17</v>
      </c>
      <c r="C12" s="10" t="s">
        <v>60</v>
      </c>
      <c r="D12" s="10" t="s">
        <v>61</v>
      </c>
      <c r="E12" s="25">
        <v>100</v>
      </c>
      <c r="F12" s="12">
        <v>9.32</v>
      </c>
      <c r="G12" s="47">
        <f>1625*0.1</f>
        <v>162.5</v>
      </c>
      <c r="H12" s="47">
        <f>57.32*0.1</f>
        <v>5.7320000000000002</v>
      </c>
      <c r="I12" s="47">
        <f>40.62*0.1</f>
        <v>4.0620000000000003</v>
      </c>
      <c r="J12" s="48">
        <f>257.61*0.1</f>
        <v>25.761000000000003</v>
      </c>
      <c r="K12"/>
    </row>
    <row r="13" spans="1:12" x14ac:dyDescent="0.25">
      <c r="A13" s="70"/>
      <c r="B13" s="13" t="s">
        <v>18</v>
      </c>
      <c r="C13" s="10" t="s">
        <v>19</v>
      </c>
      <c r="D13" s="10" t="s">
        <v>20</v>
      </c>
      <c r="E13" s="25" t="s">
        <v>36</v>
      </c>
      <c r="F13" s="12">
        <v>2.54</v>
      </c>
      <c r="G13" s="12">
        <v>60</v>
      </c>
      <c r="H13" s="12">
        <v>7.0000000000000007E-2</v>
      </c>
      <c r="I13" s="12">
        <v>0.02</v>
      </c>
      <c r="J13" s="14">
        <v>15</v>
      </c>
      <c r="K13"/>
    </row>
    <row r="14" spans="1:12" ht="15.75" thickBot="1" x14ac:dyDescent="0.3">
      <c r="A14" s="70"/>
      <c r="B14" s="16" t="s">
        <v>14</v>
      </c>
      <c r="C14" s="17" t="s">
        <v>34</v>
      </c>
      <c r="D14" s="17" t="s">
        <v>35</v>
      </c>
      <c r="E14" s="26">
        <v>34</v>
      </c>
      <c r="F14" s="27">
        <v>1.1599999999999999</v>
      </c>
      <c r="G14" s="27">
        <f>229.7*0.34</f>
        <v>78.097999999999999</v>
      </c>
      <c r="H14" s="18">
        <f>6.7*0.34</f>
        <v>2.278</v>
      </c>
      <c r="I14" s="18">
        <f>1.1*0.34</f>
        <v>0.37400000000000005</v>
      </c>
      <c r="J14" s="19">
        <f>48.3*0.34</f>
        <v>16.422000000000001</v>
      </c>
    </row>
    <row r="15" spans="1:12" ht="16.5" thickBot="1" x14ac:dyDescent="0.3">
      <c r="A15" s="71" t="s">
        <v>15</v>
      </c>
      <c r="B15" s="72"/>
      <c r="C15" s="72"/>
      <c r="D15" s="72"/>
      <c r="E15" s="73"/>
      <c r="F15" s="38">
        <f>SUM(F10:F14)</f>
        <v>44.999999999999993</v>
      </c>
      <c r="G15" s="38">
        <f>SUM(G10:G14)</f>
        <v>496.14800000000002</v>
      </c>
      <c r="H15" s="38">
        <f t="shared" ref="H15:J15" si="1">SUM(H10:H14)</f>
        <v>17.942499999999999</v>
      </c>
      <c r="I15" s="38">
        <f t="shared" si="1"/>
        <v>15.076000000000002</v>
      </c>
      <c r="J15" s="38">
        <f t="shared" si="1"/>
        <v>70.125500000000002</v>
      </c>
    </row>
    <row r="16" spans="1:12" ht="30" x14ac:dyDescent="0.25">
      <c r="A16" s="70" t="s">
        <v>29</v>
      </c>
      <c r="B16" s="29" t="s">
        <v>16</v>
      </c>
      <c r="C16" s="30" t="s">
        <v>55</v>
      </c>
      <c r="D16" s="30" t="s">
        <v>56</v>
      </c>
      <c r="E16" s="22" t="s">
        <v>37</v>
      </c>
      <c r="F16" s="23">
        <v>11.5</v>
      </c>
      <c r="G16" s="23">
        <f>415*0.25+162*0.1</f>
        <v>119.95</v>
      </c>
      <c r="H16" s="23">
        <f>7.21*0.25+2.6*0.1</f>
        <v>2.0625</v>
      </c>
      <c r="I16" s="23">
        <f>19.68*0.25+15*0.1</f>
        <v>6.42</v>
      </c>
      <c r="J16" s="24">
        <f>43.73*0.25+3.6*0.1</f>
        <v>11.292499999999999</v>
      </c>
    </row>
    <row r="17" spans="1:11" x14ac:dyDescent="0.25">
      <c r="A17" s="70"/>
      <c r="B17" s="13" t="s">
        <v>13</v>
      </c>
      <c r="C17" s="10" t="s">
        <v>57</v>
      </c>
      <c r="D17" s="10" t="s">
        <v>58</v>
      </c>
      <c r="E17" s="25" t="s">
        <v>62</v>
      </c>
      <c r="F17" s="12">
        <v>28.67</v>
      </c>
      <c r="G17" s="45">
        <f>151.2*0.7</f>
        <v>105.83999999999999</v>
      </c>
      <c r="H17" s="45">
        <f>15.6*0.7</f>
        <v>10.92</v>
      </c>
      <c r="I17" s="45">
        <f>8.4*0.7</f>
        <v>5.88</v>
      </c>
      <c r="J17" s="46">
        <f>3.3*0.7</f>
        <v>2.3099999999999996</v>
      </c>
      <c r="K17"/>
    </row>
    <row r="18" spans="1:11" x14ac:dyDescent="0.25">
      <c r="A18" s="70"/>
      <c r="B18" s="13" t="s">
        <v>17</v>
      </c>
      <c r="C18" s="10" t="s">
        <v>60</v>
      </c>
      <c r="D18" s="10" t="s">
        <v>61</v>
      </c>
      <c r="E18" s="25">
        <v>140</v>
      </c>
      <c r="F18" s="12">
        <v>13.05</v>
      </c>
      <c r="G18" s="47">
        <f>1625*0.14</f>
        <v>227.50000000000003</v>
      </c>
      <c r="H18" s="47">
        <f>57.32*0.14</f>
        <v>8.0248000000000008</v>
      </c>
      <c r="I18" s="47">
        <f>40.62*0.14</f>
        <v>5.6867999999999999</v>
      </c>
      <c r="J18" s="48">
        <f>257.61*0.14</f>
        <v>36.065400000000004</v>
      </c>
      <c r="K18"/>
    </row>
    <row r="19" spans="1:11" x14ac:dyDescent="0.25">
      <c r="A19" s="70"/>
      <c r="B19" s="13" t="s">
        <v>63</v>
      </c>
      <c r="C19" s="10" t="s">
        <v>64</v>
      </c>
      <c r="D19" s="10" t="s">
        <v>65</v>
      </c>
      <c r="E19" s="25">
        <v>200</v>
      </c>
      <c r="F19" s="12">
        <v>8.25</v>
      </c>
      <c r="G19" s="12">
        <v>111</v>
      </c>
      <c r="H19" s="45">
        <v>0.7</v>
      </c>
      <c r="I19" s="45">
        <v>0</v>
      </c>
      <c r="J19" s="46">
        <v>27</v>
      </c>
      <c r="K19"/>
    </row>
    <row r="20" spans="1:11" x14ac:dyDescent="0.25">
      <c r="A20" s="70"/>
      <c r="B20" s="13" t="s">
        <v>21</v>
      </c>
      <c r="C20" s="10" t="s">
        <v>32</v>
      </c>
      <c r="D20" s="10" t="s">
        <v>33</v>
      </c>
      <c r="E20" s="25">
        <v>50</v>
      </c>
      <c r="F20" s="12">
        <v>6.31</v>
      </c>
      <c r="G20" s="12">
        <f>397.2/2</f>
        <v>198.6</v>
      </c>
      <c r="H20" s="11">
        <v>4.0999999999999996</v>
      </c>
      <c r="I20" s="11">
        <v>7.7</v>
      </c>
      <c r="J20" s="15">
        <v>28.2</v>
      </c>
      <c r="K20"/>
    </row>
    <row r="21" spans="1:11" ht="15.75" thickBot="1" x14ac:dyDescent="0.3">
      <c r="A21" s="74"/>
      <c r="B21" s="16" t="s">
        <v>14</v>
      </c>
      <c r="C21" s="17" t="s">
        <v>34</v>
      </c>
      <c r="D21" s="17" t="s">
        <v>35</v>
      </c>
      <c r="E21" s="26">
        <v>50.5</v>
      </c>
      <c r="F21" s="27">
        <v>1.72</v>
      </c>
      <c r="G21" s="27">
        <f>229.7*0.505</f>
        <v>115.99849999999999</v>
      </c>
      <c r="H21" s="18">
        <f>6.7*0.505</f>
        <v>3.3835000000000002</v>
      </c>
      <c r="I21" s="18">
        <f>1.1*0.505</f>
        <v>0.5555000000000001</v>
      </c>
      <c r="J21" s="19">
        <f>48.3*0.505</f>
        <v>24.391499999999997</v>
      </c>
      <c r="K21"/>
    </row>
    <row r="22" spans="1:11" ht="16.5" thickBot="1" x14ac:dyDescent="0.3">
      <c r="A22" s="66" t="s">
        <v>15</v>
      </c>
      <c r="B22" s="67"/>
      <c r="C22" s="67"/>
      <c r="D22" s="67"/>
      <c r="E22" s="68"/>
      <c r="F22" s="28">
        <f>SUM(F16:F21)</f>
        <v>69.5</v>
      </c>
      <c r="G22" s="28">
        <f>SUM(G16:G21)</f>
        <v>878.88850000000002</v>
      </c>
      <c r="H22" s="28">
        <f t="shared" ref="H22:J22" si="2">SUM(H16:H21)</f>
        <v>29.190799999999999</v>
      </c>
      <c r="I22" s="28">
        <f t="shared" si="2"/>
        <v>26.2423</v>
      </c>
      <c r="J22" s="28">
        <f t="shared" si="2"/>
        <v>129.2594</v>
      </c>
      <c r="K22"/>
    </row>
    <row r="23" spans="1:11" x14ac:dyDescent="0.25">
      <c r="A23" s="69" t="s">
        <v>30</v>
      </c>
      <c r="B23" s="29" t="s">
        <v>63</v>
      </c>
      <c r="C23" s="30" t="s">
        <v>66</v>
      </c>
      <c r="D23" s="30" t="s">
        <v>70</v>
      </c>
      <c r="E23" s="39" t="s">
        <v>67</v>
      </c>
      <c r="F23" s="40">
        <v>34.299999999999997</v>
      </c>
      <c r="G23" s="43">
        <v>160</v>
      </c>
      <c r="H23" s="43">
        <v>6.2</v>
      </c>
      <c r="I23" s="43">
        <v>5</v>
      </c>
      <c r="J23" s="44">
        <v>22</v>
      </c>
      <c r="K23"/>
    </row>
    <row r="24" spans="1:11" ht="15.75" thickBot="1" x14ac:dyDescent="0.3">
      <c r="A24" s="70"/>
      <c r="B24" s="16" t="s">
        <v>68</v>
      </c>
      <c r="C24" s="17" t="s">
        <v>66</v>
      </c>
      <c r="D24" s="17" t="s">
        <v>69</v>
      </c>
      <c r="E24" s="26">
        <v>70</v>
      </c>
      <c r="F24" s="27">
        <v>10.7</v>
      </c>
      <c r="G24" s="50">
        <f>350*0.7</f>
        <v>244.99999999999997</v>
      </c>
      <c r="H24" s="50">
        <f>5*0.7</f>
        <v>3.5</v>
      </c>
      <c r="I24" s="50">
        <f>6*0.7</f>
        <v>4.1999999999999993</v>
      </c>
      <c r="J24" s="51">
        <f>69*0.7</f>
        <v>48.3</v>
      </c>
      <c r="K24"/>
    </row>
    <row r="25" spans="1:11" ht="16.5" thickBot="1" x14ac:dyDescent="0.3">
      <c r="A25" s="66" t="s">
        <v>15</v>
      </c>
      <c r="B25" s="79"/>
      <c r="C25" s="79"/>
      <c r="D25" s="79"/>
      <c r="E25" s="80"/>
      <c r="F25" s="5">
        <f>SUM(F23:F24)</f>
        <v>45</v>
      </c>
      <c r="G25" s="5">
        <f t="shared" ref="G25:J25" si="3">SUM(G23:G24)</f>
        <v>405</v>
      </c>
      <c r="H25" s="5">
        <f t="shared" si="3"/>
        <v>9.6999999999999993</v>
      </c>
      <c r="I25" s="5">
        <f t="shared" si="3"/>
        <v>9.1999999999999993</v>
      </c>
      <c r="J25" s="5">
        <f t="shared" si="3"/>
        <v>70.3</v>
      </c>
      <c r="K25"/>
    </row>
    <row r="27" spans="1:11" ht="15.75" thickBot="1" x14ac:dyDescent="0.3">
      <c r="A27" s="64" t="s">
        <v>25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1" ht="15.75" x14ac:dyDescent="0.25">
      <c r="A28" s="42"/>
      <c r="B28" s="42"/>
      <c r="C28" s="63" t="s">
        <v>23</v>
      </c>
      <c r="D28" s="63"/>
      <c r="G28" s="65"/>
      <c r="H28" s="65"/>
      <c r="I28" s="65"/>
      <c r="J28" s="65"/>
    </row>
    <row r="29" spans="1:11" x14ac:dyDescent="0.25">
      <c r="A29" s="1"/>
      <c r="B29" s="1"/>
      <c r="C29" s="1"/>
      <c r="D29" s="1"/>
    </row>
    <row r="30" spans="1:11" x14ac:dyDescent="0.25">
      <c r="A30" s="75" t="s">
        <v>24</v>
      </c>
      <c r="B30" s="75"/>
    </row>
    <row r="31" spans="1:11" x14ac:dyDescent="0.25">
      <c r="A31" s="75" t="s">
        <v>26</v>
      </c>
      <c r="B31" s="75"/>
    </row>
    <row r="32" spans="1:11" x14ac:dyDescent="0.25">
      <c r="A32" s="6"/>
    </row>
  </sheetData>
  <mergeCells count="15">
    <mergeCell ref="A30:B30"/>
    <mergeCell ref="A31:B31"/>
    <mergeCell ref="A3:A8"/>
    <mergeCell ref="A23:A24"/>
    <mergeCell ref="A25:E25"/>
    <mergeCell ref="B1:C1"/>
    <mergeCell ref="G1:J1"/>
    <mergeCell ref="C28:D28"/>
    <mergeCell ref="A27:J27"/>
    <mergeCell ref="G28:J28"/>
    <mergeCell ref="A9:E9"/>
    <mergeCell ref="A10:A14"/>
    <mergeCell ref="A15:E15"/>
    <mergeCell ref="A16:A21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59C2-9B1A-44EA-93AC-D64E750D8022}">
  <dimension ref="A1:L36"/>
  <sheetViews>
    <sheetView topLeftCell="A7" workbookViewId="0">
      <selection activeCell="F29" sqref="F29:J29"/>
    </sheetView>
  </sheetViews>
  <sheetFormatPr defaultRowHeight="15" x14ac:dyDescent="0.25"/>
  <cols>
    <col min="1" max="1" width="39.425781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81" t="s">
        <v>22</v>
      </c>
      <c r="C1" s="82"/>
      <c r="D1" s="1" t="s">
        <v>1</v>
      </c>
      <c r="E1" s="53"/>
      <c r="F1" s="1" t="s">
        <v>2</v>
      </c>
      <c r="G1" s="83">
        <v>44453</v>
      </c>
      <c r="H1" s="84"/>
      <c r="I1" s="84"/>
      <c r="J1" s="84"/>
      <c r="K1" s="1"/>
      <c r="L1" s="1"/>
    </row>
    <row r="2" spans="1:12" ht="16.5" thickTop="1" thickBot="1" x14ac:dyDescent="0.3">
      <c r="A2" s="52" t="s">
        <v>3</v>
      </c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5" t="s">
        <v>10</v>
      </c>
      <c r="I2" s="55" t="s">
        <v>11</v>
      </c>
      <c r="J2" s="56" t="s">
        <v>12</v>
      </c>
    </row>
    <row r="3" spans="1:12" ht="15.75" thickTop="1" x14ac:dyDescent="0.25">
      <c r="A3" s="76" t="s">
        <v>38</v>
      </c>
      <c r="B3" s="29" t="s">
        <v>13</v>
      </c>
      <c r="C3" s="30" t="s">
        <v>48</v>
      </c>
      <c r="D3" s="30" t="s">
        <v>49</v>
      </c>
      <c r="E3" s="22">
        <v>70</v>
      </c>
      <c r="F3" s="23">
        <v>39.79</v>
      </c>
      <c r="G3" s="23">
        <f>144*1.4</f>
        <v>201.6</v>
      </c>
      <c r="H3" s="23">
        <f>8.37*1.4</f>
        <v>11.717999999999998</v>
      </c>
      <c r="I3" s="23">
        <f>9.17*1.4</f>
        <v>12.837999999999999</v>
      </c>
      <c r="J3" s="24">
        <f>6.56*1.4</f>
        <v>9.1839999999999993</v>
      </c>
    </row>
    <row r="4" spans="1:12" x14ac:dyDescent="0.25">
      <c r="A4" s="77"/>
      <c r="B4" s="13" t="s">
        <v>17</v>
      </c>
      <c r="C4" s="10" t="s">
        <v>50</v>
      </c>
      <c r="D4" s="10" t="s">
        <v>51</v>
      </c>
      <c r="E4" s="25">
        <v>130</v>
      </c>
      <c r="F4" s="12">
        <v>12.07</v>
      </c>
      <c r="G4" s="12">
        <f>751*0.13</f>
        <v>97.63000000000001</v>
      </c>
      <c r="H4" s="12">
        <f>20.65*0.13</f>
        <v>2.6844999999999999</v>
      </c>
      <c r="I4" s="12">
        <f>32.37*0.13</f>
        <v>4.2081</v>
      </c>
      <c r="J4" s="14">
        <f>94.27*0.13</f>
        <v>12.255100000000001</v>
      </c>
    </row>
    <row r="5" spans="1:12" x14ac:dyDescent="0.25">
      <c r="A5" s="77"/>
      <c r="B5" s="32" t="s">
        <v>18</v>
      </c>
      <c r="C5" s="33" t="s">
        <v>19</v>
      </c>
      <c r="D5" s="33" t="s">
        <v>20</v>
      </c>
      <c r="E5" s="34" t="s">
        <v>36</v>
      </c>
      <c r="F5" s="35">
        <v>2.54</v>
      </c>
      <c r="G5" s="35">
        <v>60</v>
      </c>
      <c r="H5" s="35">
        <v>7.0000000000000007E-2</v>
      </c>
      <c r="I5" s="35">
        <v>0.02</v>
      </c>
      <c r="J5" s="57">
        <v>15</v>
      </c>
    </row>
    <row r="6" spans="1:12" x14ac:dyDescent="0.25">
      <c r="A6" s="77"/>
      <c r="B6" s="13" t="s">
        <v>68</v>
      </c>
      <c r="C6" s="10" t="s">
        <v>66</v>
      </c>
      <c r="D6" s="10" t="s">
        <v>69</v>
      </c>
      <c r="E6" s="25">
        <v>90</v>
      </c>
      <c r="F6" s="12">
        <v>13.78</v>
      </c>
      <c r="G6" s="49">
        <f>350*0.9</f>
        <v>315</v>
      </c>
      <c r="H6" s="49">
        <f>5*0.9</f>
        <v>4.5</v>
      </c>
      <c r="I6" s="49">
        <f>6*0.9</f>
        <v>5.4</v>
      </c>
      <c r="J6" s="58">
        <f>69*0.9</f>
        <v>62.1</v>
      </c>
    </row>
    <row r="7" spans="1:12" ht="15.75" thickBot="1" x14ac:dyDescent="0.3">
      <c r="A7" s="78"/>
      <c r="B7" s="16" t="s">
        <v>14</v>
      </c>
      <c r="C7" s="17" t="s">
        <v>34</v>
      </c>
      <c r="D7" s="17" t="s">
        <v>35</v>
      </c>
      <c r="E7" s="26">
        <v>39</v>
      </c>
      <c r="F7" s="27">
        <v>1.32</v>
      </c>
      <c r="G7" s="27">
        <f>229.7*0.39</f>
        <v>89.582999999999998</v>
      </c>
      <c r="H7" s="18">
        <f>6.7*0.39</f>
        <v>2.613</v>
      </c>
      <c r="I7" s="18">
        <f>1.1*0.39</f>
        <v>0.42900000000000005</v>
      </c>
      <c r="J7" s="19">
        <f>48.3*0.39</f>
        <v>18.837</v>
      </c>
    </row>
    <row r="8" spans="1:12" ht="16.5" thickBot="1" x14ac:dyDescent="0.3">
      <c r="A8" s="66" t="s">
        <v>15</v>
      </c>
      <c r="B8" s="67"/>
      <c r="C8" s="67"/>
      <c r="D8" s="67"/>
      <c r="E8" s="68"/>
      <c r="F8" s="28">
        <f>SUM(F3:F7)</f>
        <v>69.499999999999986</v>
      </c>
      <c r="G8" s="28">
        <f t="shared" ref="G8:J8" si="0">SUM(G3:G7)</f>
        <v>763.81299999999999</v>
      </c>
      <c r="H8" s="28">
        <f t="shared" si="0"/>
        <v>21.585499999999996</v>
      </c>
      <c r="I8" s="28">
        <f t="shared" si="0"/>
        <v>22.895099999999996</v>
      </c>
      <c r="J8" s="28">
        <f t="shared" si="0"/>
        <v>117.37609999999999</v>
      </c>
    </row>
    <row r="9" spans="1:12" ht="15.75" thickTop="1" x14ac:dyDescent="0.25">
      <c r="A9" s="76" t="s">
        <v>39</v>
      </c>
      <c r="B9" s="29" t="s">
        <v>17</v>
      </c>
      <c r="C9" s="30" t="s">
        <v>50</v>
      </c>
      <c r="D9" s="30" t="s">
        <v>51</v>
      </c>
      <c r="E9" s="22">
        <v>150</v>
      </c>
      <c r="F9" s="23">
        <v>13.93</v>
      </c>
      <c r="G9" s="23">
        <f>751*0.15</f>
        <v>112.64999999999999</v>
      </c>
      <c r="H9" s="23">
        <f>20.65*0.15</f>
        <v>3.0974999999999997</v>
      </c>
      <c r="I9" s="23">
        <f>32.37*0.15</f>
        <v>4.8554999999999993</v>
      </c>
      <c r="J9" s="24">
        <f>94.27*0.15</f>
        <v>14.140499999999999</v>
      </c>
    </row>
    <row r="10" spans="1:12" x14ac:dyDescent="0.25">
      <c r="A10" s="77"/>
      <c r="B10" s="13" t="s">
        <v>18</v>
      </c>
      <c r="C10" s="10" t="s">
        <v>52</v>
      </c>
      <c r="D10" s="10" t="s">
        <v>53</v>
      </c>
      <c r="E10" s="25" t="s">
        <v>54</v>
      </c>
      <c r="F10" s="12">
        <v>5.47</v>
      </c>
      <c r="G10" s="12">
        <v>62</v>
      </c>
      <c r="H10" s="12">
        <v>0.13</v>
      </c>
      <c r="I10" s="12">
        <v>0.02</v>
      </c>
      <c r="J10" s="14">
        <v>15.2</v>
      </c>
    </row>
    <row r="11" spans="1:12" s="41" customFormat="1" x14ac:dyDescent="0.25">
      <c r="A11" s="77"/>
      <c r="B11" s="13" t="s">
        <v>21</v>
      </c>
      <c r="C11" s="10" t="s">
        <v>32</v>
      </c>
      <c r="D11" s="10" t="s">
        <v>33</v>
      </c>
      <c r="E11" s="25">
        <v>50</v>
      </c>
      <c r="F11" s="12">
        <v>6.31</v>
      </c>
      <c r="G11" s="12">
        <f>397.2/2</f>
        <v>198.6</v>
      </c>
      <c r="H11" s="11">
        <v>4.0999999999999996</v>
      </c>
      <c r="I11" s="11">
        <v>7.7</v>
      </c>
      <c r="J11" s="15">
        <v>28.2</v>
      </c>
    </row>
    <row r="12" spans="1:12" ht="15.75" thickBot="1" x14ac:dyDescent="0.3">
      <c r="A12" s="77"/>
      <c r="B12" s="16" t="s">
        <v>14</v>
      </c>
      <c r="C12" s="17" t="s">
        <v>34</v>
      </c>
      <c r="D12" s="17" t="s">
        <v>35</v>
      </c>
      <c r="E12" s="26">
        <v>38</v>
      </c>
      <c r="F12" s="27">
        <v>1.29</v>
      </c>
      <c r="G12" s="27">
        <f>229.7*0.38</f>
        <v>87.286000000000001</v>
      </c>
      <c r="H12" s="18">
        <f>6.7*0.38</f>
        <v>2.5460000000000003</v>
      </c>
      <c r="I12" s="18">
        <f>1.1*0.38</f>
        <v>0.41800000000000004</v>
      </c>
      <c r="J12" s="19">
        <f>48.3*0.38</f>
        <v>18.353999999999999</v>
      </c>
    </row>
    <row r="13" spans="1:12" ht="16.5" thickBot="1" x14ac:dyDescent="0.3">
      <c r="A13" s="66" t="s">
        <v>15</v>
      </c>
      <c r="B13" s="67"/>
      <c r="C13" s="67"/>
      <c r="D13" s="67"/>
      <c r="E13" s="68"/>
      <c r="F13" s="28">
        <f>SUM(F9:F12)</f>
        <v>26.999999999999996</v>
      </c>
      <c r="G13" s="28">
        <f t="shared" ref="G13:J13" si="1">SUM(G9:G12)</f>
        <v>460.536</v>
      </c>
      <c r="H13" s="28">
        <f t="shared" si="1"/>
        <v>9.8734999999999999</v>
      </c>
      <c r="I13" s="28">
        <f t="shared" si="1"/>
        <v>12.993499999999997</v>
      </c>
      <c r="J13" s="28">
        <f t="shared" si="1"/>
        <v>75.894499999999994</v>
      </c>
    </row>
    <row r="14" spans="1:12" ht="15.75" thickTop="1" x14ac:dyDescent="0.25">
      <c r="A14" s="76" t="s">
        <v>44</v>
      </c>
      <c r="B14" s="20" t="s">
        <v>31</v>
      </c>
      <c r="C14" s="21" t="s">
        <v>40</v>
      </c>
      <c r="D14" s="21" t="s">
        <v>41</v>
      </c>
      <c r="E14" s="39" t="s">
        <v>42</v>
      </c>
      <c r="F14" s="22">
        <v>4.46</v>
      </c>
      <c r="G14" s="43">
        <f>660*0.04+280*0.335</f>
        <v>120.20000000000002</v>
      </c>
      <c r="H14" s="43">
        <f>0.8*0.04+8*0.335</f>
        <v>2.7120000000000002</v>
      </c>
      <c r="I14" s="43">
        <f>72.5*0.04+3*0.335</f>
        <v>3.9050000000000002</v>
      </c>
      <c r="J14" s="44">
        <f>1.3*0.04+54*0.335</f>
        <v>18.141999999999999</v>
      </c>
    </row>
    <row r="15" spans="1:12" ht="15.75" thickBot="1" x14ac:dyDescent="0.3">
      <c r="A15" s="77"/>
      <c r="B15" s="16" t="s">
        <v>18</v>
      </c>
      <c r="C15" s="17" t="s">
        <v>19</v>
      </c>
      <c r="D15" s="17" t="s">
        <v>20</v>
      </c>
      <c r="E15" s="26" t="s">
        <v>36</v>
      </c>
      <c r="F15" s="27">
        <v>2.54</v>
      </c>
      <c r="G15" s="27">
        <v>60</v>
      </c>
      <c r="H15" s="27">
        <v>7.0000000000000007E-2</v>
      </c>
      <c r="I15" s="27">
        <v>0.02</v>
      </c>
      <c r="J15" s="31">
        <v>15</v>
      </c>
    </row>
    <row r="16" spans="1:12" ht="16.5" thickBot="1" x14ac:dyDescent="0.3">
      <c r="A16" s="66" t="s">
        <v>15</v>
      </c>
      <c r="B16" s="67"/>
      <c r="C16" s="67"/>
      <c r="D16" s="67"/>
      <c r="E16" s="68"/>
      <c r="F16" s="28">
        <f>SUM(F14:F15)</f>
        <v>7</v>
      </c>
      <c r="G16" s="28">
        <f t="shared" ref="G16:J16" si="2">SUM(G14:G15)</f>
        <v>180.20000000000002</v>
      </c>
      <c r="H16" s="28">
        <f t="shared" si="2"/>
        <v>2.782</v>
      </c>
      <c r="I16" s="28">
        <f t="shared" si="2"/>
        <v>3.9250000000000003</v>
      </c>
      <c r="J16" s="28">
        <f t="shared" si="2"/>
        <v>33.141999999999996</v>
      </c>
    </row>
    <row r="17" spans="1:10" ht="30" x14ac:dyDescent="0.25">
      <c r="A17" s="69" t="s">
        <v>43</v>
      </c>
      <c r="B17" s="29" t="s">
        <v>16</v>
      </c>
      <c r="C17" s="30" t="s">
        <v>55</v>
      </c>
      <c r="D17" s="30" t="s">
        <v>56</v>
      </c>
      <c r="E17" s="22" t="s">
        <v>37</v>
      </c>
      <c r="F17" s="23">
        <v>11.5</v>
      </c>
      <c r="G17" s="23">
        <f>415*0.25+162*0.1</f>
        <v>119.95</v>
      </c>
      <c r="H17" s="23">
        <f>7.21*0.25+2.6*0.1</f>
        <v>2.0625</v>
      </c>
      <c r="I17" s="23">
        <f>19.68*0.25+15*0.1</f>
        <v>6.42</v>
      </c>
      <c r="J17" s="24">
        <f>43.73*0.25+3.6*0.1</f>
        <v>11.292499999999999</v>
      </c>
    </row>
    <row r="18" spans="1:10" x14ac:dyDescent="0.25">
      <c r="A18" s="70"/>
      <c r="B18" s="13" t="s">
        <v>13</v>
      </c>
      <c r="C18" s="10" t="s">
        <v>57</v>
      </c>
      <c r="D18" s="10" t="s">
        <v>58</v>
      </c>
      <c r="E18" s="25" t="s">
        <v>59</v>
      </c>
      <c r="F18" s="12">
        <v>20.48</v>
      </c>
      <c r="G18" s="45">
        <f>151.2*0.5</f>
        <v>75.599999999999994</v>
      </c>
      <c r="H18" s="45">
        <f>15.6*0.5</f>
        <v>7.8</v>
      </c>
      <c r="I18" s="45">
        <f>8.4*0.5</f>
        <v>4.2</v>
      </c>
      <c r="J18" s="46">
        <f>3.3*0.5</f>
        <v>1.65</v>
      </c>
    </row>
    <row r="19" spans="1:10" x14ac:dyDescent="0.25">
      <c r="A19" s="70"/>
      <c r="B19" s="13" t="s">
        <v>17</v>
      </c>
      <c r="C19" s="10" t="s">
        <v>60</v>
      </c>
      <c r="D19" s="10" t="s">
        <v>61</v>
      </c>
      <c r="E19" s="25">
        <v>100</v>
      </c>
      <c r="F19" s="12">
        <v>9.32</v>
      </c>
      <c r="G19" s="47">
        <f>1625*0.1</f>
        <v>162.5</v>
      </c>
      <c r="H19" s="47">
        <f>57.32*0.1</f>
        <v>5.7320000000000002</v>
      </c>
      <c r="I19" s="47">
        <f>40.62*0.1</f>
        <v>4.0620000000000003</v>
      </c>
      <c r="J19" s="48">
        <f>257.61*0.1</f>
        <v>25.761000000000003</v>
      </c>
    </row>
    <row r="20" spans="1:10" x14ac:dyDescent="0.25">
      <c r="A20" s="70"/>
      <c r="B20" s="13" t="s">
        <v>18</v>
      </c>
      <c r="C20" s="10" t="s">
        <v>19</v>
      </c>
      <c r="D20" s="10" t="s">
        <v>20</v>
      </c>
      <c r="E20" s="25" t="s">
        <v>36</v>
      </c>
      <c r="F20" s="12">
        <v>2.54</v>
      </c>
      <c r="G20" s="12">
        <v>60</v>
      </c>
      <c r="H20" s="12">
        <v>7.0000000000000007E-2</v>
      </c>
      <c r="I20" s="12">
        <v>0.02</v>
      </c>
      <c r="J20" s="14">
        <v>15</v>
      </c>
    </row>
    <row r="21" spans="1:10" ht="15.75" thickBot="1" x14ac:dyDescent="0.3">
      <c r="A21" s="70"/>
      <c r="B21" s="16" t="s">
        <v>14</v>
      </c>
      <c r="C21" s="17" t="s">
        <v>34</v>
      </c>
      <c r="D21" s="17" t="s">
        <v>35</v>
      </c>
      <c r="E21" s="26">
        <v>34</v>
      </c>
      <c r="F21" s="27">
        <v>1.1599999999999999</v>
      </c>
      <c r="G21" s="27">
        <f>229.7*0.34</f>
        <v>78.097999999999999</v>
      </c>
      <c r="H21" s="18">
        <f>6.7*0.34</f>
        <v>2.278</v>
      </c>
      <c r="I21" s="18">
        <f>1.1*0.34</f>
        <v>0.37400000000000005</v>
      </c>
      <c r="J21" s="19">
        <f>48.3*0.34</f>
        <v>16.422000000000001</v>
      </c>
    </row>
    <row r="22" spans="1:10" ht="16.5" thickBot="1" x14ac:dyDescent="0.3">
      <c r="A22" s="71" t="s">
        <v>15</v>
      </c>
      <c r="B22" s="72"/>
      <c r="C22" s="72"/>
      <c r="D22" s="72"/>
      <c r="E22" s="73"/>
      <c r="F22" s="38">
        <f>SUM(F17:F21)</f>
        <v>44.999999999999993</v>
      </c>
      <c r="G22" s="38">
        <f t="shared" ref="G22:J22" si="3">SUM(G17:G21)</f>
        <v>496.14800000000002</v>
      </c>
      <c r="H22" s="38">
        <f t="shared" si="3"/>
        <v>17.942499999999999</v>
      </c>
      <c r="I22" s="38">
        <f t="shared" si="3"/>
        <v>15.076000000000002</v>
      </c>
      <c r="J22" s="38">
        <f t="shared" si="3"/>
        <v>70.125500000000002</v>
      </c>
    </row>
    <row r="23" spans="1:10" ht="30" x14ac:dyDescent="0.25">
      <c r="A23" s="85" t="s">
        <v>45</v>
      </c>
      <c r="B23" s="29" t="s">
        <v>16</v>
      </c>
      <c r="C23" s="30" t="s">
        <v>55</v>
      </c>
      <c r="D23" s="30" t="s">
        <v>56</v>
      </c>
      <c r="E23" s="22" t="s">
        <v>37</v>
      </c>
      <c r="F23" s="23">
        <v>11.5</v>
      </c>
      <c r="G23" s="23">
        <f>415*0.25+162*0.1</f>
        <v>119.95</v>
      </c>
      <c r="H23" s="23">
        <f>7.21*0.25+2.6*0.1</f>
        <v>2.0625</v>
      </c>
      <c r="I23" s="23">
        <f>19.68*0.25+15*0.1</f>
        <v>6.42</v>
      </c>
      <c r="J23" s="24">
        <f>43.73*0.25+3.6*0.1</f>
        <v>11.292499999999999</v>
      </c>
    </row>
    <row r="24" spans="1:10" x14ac:dyDescent="0.25">
      <c r="A24" s="85"/>
      <c r="B24" s="13" t="s">
        <v>13</v>
      </c>
      <c r="C24" s="10" t="s">
        <v>57</v>
      </c>
      <c r="D24" s="10" t="s">
        <v>58</v>
      </c>
      <c r="E24" s="25" t="s">
        <v>62</v>
      </c>
      <c r="F24" s="12">
        <v>28.67</v>
      </c>
      <c r="G24" s="45">
        <f>151.2*0.7</f>
        <v>105.83999999999999</v>
      </c>
      <c r="H24" s="45">
        <f>15.6*0.7</f>
        <v>10.92</v>
      </c>
      <c r="I24" s="45">
        <f>8.4*0.7</f>
        <v>5.88</v>
      </c>
      <c r="J24" s="46">
        <f>3.3*0.7</f>
        <v>2.3099999999999996</v>
      </c>
    </row>
    <row r="25" spans="1:10" x14ac:dyDescent="0.25">
      <c r="A25" s="85"/>
      <c r="B25" s="13" t="s">
        <v>17</v>
      </c>
      <c r="C25" s="10" t="s">
        <v>60</v>
      </c>
      <c r="D25" s="10" t="s">
        <v>61</v>
      </c>
      <c r="E25" s="25">
        <v>140</v>
      </c>
      <c r="F25" s="12">
        <v>13.05</v>
      </c>
      <c r="G25" s="47">
        <f>1625*0.14</f>
        <v>227.50000000000003</v>
      </c>
      <c r="H25" s="47">
        <f>57.32*0.14</f>
        <v>8.0248000000000008</v>
      </c>
      <c r="I25" s="47">
        <f>40.62*0.14</f>
        <v>5.6867999999999999</v>
      </c>
      <c r="J25" s="48">
        <f>257.61*0.14</f>
        <v>36.065400000000004</v>
      </c>
    </row>
    <row r="26" spans="1:10" x14ac:dyDescent="0.25">
      <c r="A26" s="85"/>
      <c r="B26" s="13" t="s">
        <v>63</v>
      </c>
      <c r="C26" s="10" t="s">
        <v>64</v>
      </c>
      <c r="D26" s="10" t="s">
        <v>65</v>
      </c>
      <c r="E26" s="25">
        <v>200</v>
      </c>
      <c r="F26" s="12">
        <v>8.25</v>
      </c>
      <c r="G26" s="12">
        <v>111</v>
      </c>
      <c r="H26" s="45">
        <v>0.7</v>
      </c>
      <c r="I26" s="45">
        <v>0</v>
      </c>
      <c r="J26" s="46">
        <v>27</v>
      </c>
    </row>
    <row r="27" spans="1:10" x14ac:dyDescent="0.25">
      <c r="A27" s="85"/>
      <c r="B27" s="13" t="s">
        <v>21</v>
      </c>
      <c r="C27" s="10" t="s">
        <v>32</v>
      </c>
      <c r="D27" s="10" t="s">
        <v>33</v>
      </c>
      <c r="E27" s="25">
        <v>50</v>
      </c>
      <c r="F27" s="12">
        <v>6.31</v>
      </c>
      <c r="G27" s="12">
        <f>397.2/2</f>
        <v>198.6</v>
      </c>
      <c r="H27" s="11">
        <v>4.0999999999999996</v>
      </c>
      <c r="I27" s="11">
        <v>7.7</v>
      </c>
      <c r="J27" s="15">
        <v>28.2</v>
      </c>
    </row>
    <row r="28" spans="1:10" ht="15.75" thickBot="1" x14ac:dyDescent="0.3">
      <c r="A28" s="85"/>
      <c r="B28" s="32" t="s">
        <v>14</v>
      </c>
      <c r="C28" s="33" t="s">
        <v>34</v>
      </c>
      <c r="D28" s="33" t="s">
        <v>35</v>
      </c>
      <c r="E28" s="34">
        <v>50.5</v>
      </c>
      <c r="F28" s="35">
        <v>1.72</v>
      </c>
      <c r="G28" s="35">
        <f>229.7*0.505</f>
        <v>115.99849999999999</v>
      </c>
      <c r="H28" s="36">
        <f>6.7*0.505</f>
        <v>3.3835000000000002</v>
      </c>
      <c r="I28" s="36">
        <f>1.1*0.505</f>
        <v>0.5555000000000001</v>
      </c>
      <c r="J28" s="37">
        <f>48.3*0.505</f>
        <v>24.391499999999997</v>
      </c>
    </row>
    <row r="29" spans="1:10" ht="16.5" thickBot="1" x14ac:dyDescent="0.3">
      <c r="A29" s="71" t="s">
        <v>15</v>
      </c>
      <c r="B29" s="72"/>
      <c r="C29" s="72"/>
      <c r="D29" s="72"/>
      <c r="E29" s="73"/>
      <c r="F29" s="38">
        <f>SUM(F23:F28)</f>
        <v>69.5</v>
      </c>
      <c r="G29" s="38">
        <f t="shared" ref="G29:J29" si="4">SUM(G23:G28)</f>
        <v>878.88850000000002</v>
      </c>
      <c r="H29" s="38">
        <f t="shared" si="4"/>
        <v>29.190799999999999</v>
      </c>
      <c r="I29" s="38">
        <f t="shared" si="4"/>
        <v>26.2423</v>
      </c>
      <c r="J29" s="38">
        <f t="shared" si="4"/>
        <v>129.2594</v>
      </c>
    </row>
    <row r="31" spans="1:10" ht="15.75" thickBot="1" x14ac:dyDescent="0.3">
      <c r="A31" s="64" t="s">
        <v>25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5.75" x14ac:dyDescent="0.25">
      <c r="A32" s="42"/>
      <c r="B32" s="42"/>
      <c r="C32" s="63" t="s">
        <v>23</v>
      </c>
      <c r="D32" s="63"/>
      <c r="G32" s="65"/>
      <c r="H32" s="65"/>
      <c r="I32" s="65"/>
      <c r="J32" s="65"/>
    </row>
    <row r="33" spans="1:4" x14ac:dyDescent="0.25">
      <c r="A33" s="1"/>
      <c r="B33" s="1"/>
      <c r="C33" s="1"/>
      <c r="D33" s="1"/>
    </row>
    <row r="34" spans="1:4" x14ac:dyDescent="0.25">
      <c r="A34" s="75" t="s">
        <v>24</v>
      </c>
      <c r="B34" s="75"/>
    </row>
    <row r="35" spans="1:4" x14ac:dyDescent="0.25">
      <c r="A35" s="75" t="s">
        <v>26</v>
      </c>
      <c r="B35" s="75"/>
    </row>
    <row r="36" spans="1:4" x14ac:dyDescent="0.25">
      <c r="A36" s="6"/>
    </row>
  </sheetData>
  <mergeCells count="17">
    <mergeCell ref="A34:B34"/>
    <mergeCell ref="A35:B35"/>
    <mergeCell ref="A9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  <mergeCell ref="B1:C1"/>
    <mergeCell ref="G1:J1"/>
    <mergeCell ref="A3:A7"/>
    <mergeCell ref="A8:E8"/>
    <mergeCell ref="A17:A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14.09 1-4 кл</vt:lpstr>
      <vt:lpstr>14.09 5-11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2021-09-19T10:49:35Z</dcterms:modified>
</cp:coreProperties>
</file>