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2.09 1-4 кл" sheetId="1" r:id="rId1"/>
    <sheet name="22.09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H32" i="2"/>
  <c r="I32" i="2"/>
  <c r="J32" i="2"/>
  <c r="F32" i="2"/>
  <c r="J31" i="2"/>
  <c r="I31" i="2"/>
  <c r="H31" i="2"/>
  <c r="G31" i="2"/>
  <c r="J30" i="2"/>
  <c r="I30" i="2"/>
  <c r="H30" i="2"/>
  <c r="G30" i="2"/>
  <c r="J28" i="2"/>
  <c r="I28" i="2"/>
  <c r="H28" i="2"/>
  <c r="G28" i="2"/>
  <c r="J27" i="2"/>
  <c r="I27" i="2"/>
  <c r="H27" i="2"/>
  <c r="G27" i="2"/>
  <c r="J26" i="2"/>
  <c r="I26" i="2"/>
  <c r="H26" i="2"/>
  <c r="G26" i="2"/>
  <c r="J25" i="2"/>
  <c r="I25" i="2"/>
  <c r="H25" i="2"/>
  <c r="G25" i="2"/>
  <c r="G24" i="2"/>
  <c r="H24" i="2"/>
  <c r="I24" i="2"/>
  <c r="J24" i="2"/>
  <c r="F24" i="2"/>
  <c r="J23" i="2"/>
  <c r="I23" i="2"/>
  <c r="H23" i="2"/>
  <c r="G23" i="2"/>
  <c r="J21" i="2"/>
  <c r="I21" i="2"/>
  <c r="H21" i="2"/>
  <c r="G21" i="2"/>
  <c r="J20" i="2"/>
  <c r="I20" i="2"/>
  <c r="H20" i="2"/>
  <c r="G20" i="2"/>
  <c r="J19" i="2"/>
  <c r="I19" i="2"/>
  <c r="H19" i="2"/>
  <c r="G19" i="2"/>
  <c r="J16" i="2"/>
  <c r="I16" i="2"/>
  <c r="H16" i="2"/>
  <c r="G16" i="2"/>
  <c r="J11" i="2" l="1"/>
  <c r="I11" i="2"/>
  <c r="H11" i="2"/>
  <c r="G11" i="2"/>
  <c r="J12" i="2"/>
  <c r="I12" i="2"/>
  <c r="H12" i="2"/>
  <c r="G12" i="2"/>
  <c r="J14" i="2"/>
  <c r="I14" i="2"/>
  <c r="H14" i="2"/>
  <c r="G14" i="2"/>
  <c r="J7" i="2"/>
  <c r="I7" i="2"/>
  <c r="H7" i="2"/>
  <c r="G7" i="2"/>
  <c r="G10" i="2"/>
  <c r="H10" i="2"/>
  <c r="I10" i="2"/>
  <c r="J10" i="2"/>
  <c r="F10" i="2"/>
  <c r="J8" i="2"/>
  <c r="I8" i="2"/>
  <c r="H8" i="2"/>
  <c r="G8" i="2"/>
  <c r="J9" i="2"/>
  <c r="I9" i="2"/>
  <c r="H9" i="2"/>
  <c r="G9" i="2"/>
  <c r="J5" i="2"/>
  <c r="I5" i="2"/>
  <c r="H5" i="2"/>
  <c r="G5" i="2"/>
  <c r="J3" i="2"/>
  <c r="I3" i="2"/>
  <c r="H3" i="2"/>
  <c r="G3" i="2"/>
  <c r="J4" i="2"/>
  <c r="I4" i="2"/>
  <c r="H4" i="2"/>
  <c r="G4" i="2"/>
  <c r="G27" i="1"/>
  <c r="H27" i="1"/>
  <c r="I27" i="1"/>
  <c r="J27" i="1"/>
  <c r="F27" i="1"/>
  <c r="J26" i="1"/>
  <c r="I26" i="1"/>
  <c r="H26" i="1"/>
  <c r="I8" i="1"/>
  <c r="H8" i="1"/>
  <c r="G8" i="1"/>
  <c r="G26" i="1"/>
  <c r="J25" i="1"/>
  <c r="I25" i="1"/>
  <c r="H25" i="1"/>
  <c r="G25" i="1"/>
  <c r="G15" i="1"/>
  <c r="H15" i="1"/>
  <c r="I15" i="1"/>
  <c r="J15" i="1"/>
  <c r="F15" i="1"/>
  <c r="J12" i="1"/>
  <c r="I12" i="1"/>
  <c r="H12" i="1"/>
  <c r="G12" i="1"/>
  <c r="J11" i="1"/>
  <c r="I11" i="1"/>
  <c r="H11" i="1"/>
  <c r="G11" i="1"/>
  <c r="J14" i="1"/>
  <c r="I14" i="1"/>
  <c r="H14" i="1"/>
  <c r="G14" i="1"/>
  <c r="J10" i="1"/>
  <c r="I10" i="1"/>
  <c r="H10" i="1"/>
  <c r="G10" i="1"/>
  <c r="J18" i="1"/>
  <c r="J23" i="1" s="1"/>
  <c r="I18" i="1"/>
  <c r="H18" i="1"/>
  <c r="G18" i="1"/>
  <c r="G23" i="1"/>
  <c r="H23" i="1"/>
  <c r="I23" i="1"/>
  <c r="F23" i="1"/>
  <c r="J21" i="1"/>
  <c r="I21" i="1"/>
  <c r="H21" i="1"/>
  <c r="G21" i="1"/>
  <c r="G22" i="1"/>
  <c r="H22" i="1"/>
  <c r="I22" i="1"/>
  <c r="J22" i="1"/>
  <c r="J19" i="1"/>
  <c r="I19" i="1"/>
  <c r="H19" i="1"/>
  <c r="G19" i="1"/>
  <c r="J17" i="1"/>
  <c r="I17" i="1"/>
  <c r="H17" i="1"/>
  <c r="G17" i="1"/>
  <c r="J16" i="1"/>
  <c r="I16" i="1"/>
  <c r="H16" i="1"/>
  <c r="G16" i="1"/>
  <c r="G9" i="1" l="1"/>
  <c r="H9" i="1"/>
  <c r="I9" i="1"/>
  <c r="J9" i="1"/>
  <c r="F9" i="1"/>
  <c r="J7" i="1"/>
  <c r="I7" i="1"/>
  <c r="H7" i="1"/>
  <c r="G7" i="1"/>
  <c r="J4" i="1"/>
  <c r="I4" i="1"/>
  <c r="H4" i="1"/>
  <c r="G4" i="1"/>
  <c r="J8" i="1"/>
  <c r="J6" i="1" l="1"/>
  <c r="I6" i="1"/>
  <c r="H6" i="1"/>
  <c r="G6" i="1"/>
  <c r="G18" i="2" l="1"/>
  <c r="H18" i="2"/>
  <c r="I18" i="2"/>
  <c r="J18" i="2"/>
  <c r="F18" i="2"/>
  <c r="J15" i="2"/>
  <c r="F15" i="2"/>
  <c r="I15" i="2"/>
  <c r="H15" i="2"/>
  <c r="G15" i="2"/>
  <c r="J24" i="1"/>
  <c r="I24" i="1"/>
  <c r="H24" i="1"/>
  <c r="G24" i="1"/>
  <c r="J3" i="1" l="1"/>
  <c r="I3" i="1"/>
  <c r="H3" i="1"/>
  <c r="G3" i="1"/>
</calcChain>
</file>

<file path=xl/sharedStrings.xml><?xml version="1.0" encoding="utf-8"?>
<sst xmlns="http://schemas.openxmlformats.org/spreadsheetml/2006/main" count="202" uniqueCount="77">
  <si>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</si>
  <si>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</si>
  <si>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</si>
  <si>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</si>
  <si>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</si>
  <si>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</si>
  <si>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</si>
  <si>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</si>
  <si>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</si>
  <si>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</si>
  <si>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</si>
  <si>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</si>
  <si>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</si>
  <si>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</si>
  <si>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</si>
  <si>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</si>
  <si>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</si>
  <si>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</si>
  <si>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</si>
  <si>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</si>
  <si>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</si>
  <si>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</si>
  <si>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</si>
  <si>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</si>
  <si>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</si>
  <si>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</si>
  <si>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</si>
  <si>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</si>
  <si>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</si>
  <si>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</si>
  <si>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</si>
  <si>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</si>
  <si>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</si>
  <si>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</si>
  <si>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</si>
  <si>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250/10/2</t>
  </si>
  <si>
    <t>Завтрак 5-11 кл с доплатой 62,50 руб. и льготники с доплатой 42,50 руб. 1 смена</t>
  </si>
  <si>
    <t>Завтрак льготный 5-11 кл</t>
  </si>
  <si>
    <t>Завтрак бюджетный 1-я смена и полдник для детей-инвалидов 2-я смена 5-11 кл</t>
  </si>
  <si>
    <t>Напиток</t>
  </si>
  <si>
    <t>ТТК №89</t>
  </si>
  <si>
    <t>Напиток ягодный (из компотной смеси)</t>
  </si>
  <si>
    <t>ПР</t>
  </si>
  <si>
    <t>Кондитерское изделие</t>
  </si>
  <si>
    <t>№295-2015г.</t>
  </si>
  <si>
    <t>Котлета рубленая из бройлер-цыплят</t>
  </si>
  <si>
    <t>№309-2015г.</t>
  </si>
  <si>
    <t>Макароны отварные</t>
  </si>
  <si>
    <t>№424-2015г.</t>
  </si>
  <si>
    <t>Булочка домашняя</t>
  </si>
  <si>
    <t>Фрукт</t>
  </si>
  <si>
    <t>№338-2015г.</t>
  </si>
  <si>
    <t>№304-2015г.</t>
  </si>
  <si>
    <t>Рис отварной</t>
  </si>
  <si>
    <t>Кисломолочный напиток</t>
  </si>
  <si>
    <t xml:space="preserve">Биойогурт "Славянский" </t>
  </si>
  <si>
    <t>№699-2004г.</t>
  </si>
  <si>
    <t>Напиток апельсиновый</t>
  </si>
  <si>
    <t>№71-2015г.</t>
  </si>
  <si>
    <t>Овощи натуральные свежие (огурцы)</t>
  </si>
  <si>
    <t>№338-2015г</t>
  </si>
  <si>
    <t>Фрукт свежий (яблоко)</t>
  </si>
  <si>
    <t>Пряник шоколадный</t>
  </si>
  <si>
    <t>Яблоко свежее</t>
  </si>
  <si>
    <t>Рассольник ленинградский со сметаной и зеленью</t>
  </si>
  <si>
    <t>№96-2015г.</t>
  </si>
  <si>
    <t>ТТК №18</t>
  </si>
  <si>
    <t>Филе цыплёнка запечённое</t>
  </si>
  <si>
    <t>Печенье "Курабье"</t>
  </si>
  <si>
    <t>24</t>
  </si>
  <si>
    <t>Груша свежая</t>
  </si>
  <si>
    <t>Овощи натуральные свежие (помидоры)</t>
  </si>
  <si>
    <t>№425-2015г.</t>
  </si>
  <si>
    <t>Булочка дорожная</t>
  </si>
  <si>
    <t>№1-2015г.</t>
  </si>
  <si>
    <t>Бутерброд с маслом</t>
  </si>
  <si>
    <t>4/22,5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</si>
</sst>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2" fontId="1" fillId="0" borderId="6" xfId="0" applyNumberFormat="1" applyFont="1" applyBorder="1" applyAlignment="1">
      <alignment vertical="center" wrapText="1"/>
    </xf>
    <xf numFmtId="2" fontId="1" fillId="0" borderId="6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1" fillId="0" borderId="21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2" fontId="1" fillId="0" borderId="21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right" vertical="center" wrapText="1"/>
    </xf>
    <xf numFmtId="2" fontId="2" fillId="0" borderId="2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" fontId="1" fillId="0" borderId="16" xfId="0" applyNumberFormat="1" applyFont="1" applyBorder="1" applyAlignment="1">
      <alignment horizontal="right" vertical="center" wrapText="1"/>
    </xf>
    <xf numFmtId="4" fontId="1" fillId="0" borderId="17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6" xfId="0" applyNumberFormat="1" applyFont="1" applyBorder="1" applyAlignment="1">
      <alignment horizontal="right" vertical="center" wrapText="1"/>
    </xf>
    <xf numFmtId="2" fontId="5" fillId="0" borderId="19" xfId="0" applyNumberFormat="1" applyFont="1" applyBorder="1" applyAlignment="1">
      <alignment horizontal="right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1" fillId="0" borderId="0" xfId="0" applyFont="1"/>
    <xf numFmtId="2" fontId="2" fillId="0" borderId="35" xfId="0" applyNumberFormat="1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41" xfId="0" applyFont="1" applyBorder="1" applyAlignment="1">
      <alignment horizontal="right" vertical="center" wrapText="1"/>
    </xf>
    <xf numFmtId="2" fontId="1" fillId="0" borderId="41" xfId="0" applyNumberFormat="1" applyFont="1" applyBorder="1" applyAlignment="1">
      <alignment horizontal="right" vertical="center" wrapText="1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right" vertical="center" wrapText="1"/>
    </xf>
    <xf numFmtId="2" fontId="1" fillId="0" borderId="41" xfId="0" applyNumberFormat="1" applyFont="1" applyBorder="1" applyAlignment="1">
      <alignment vertical="center" wrapText="1"/>
    </xf>
    <xf numFmtId="2" fontId="1" fillId="0" borderId="42" xfId="0" applyNumberFormat="1" applyFont="1" applyBorder="1" applyAlignment="1">
      <alignment vertical="center" wrapText="1"/>
    </xf>
    <xf numFmtId="2" fontId="2" fillId="0" borderId="29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7" workbookViewId="0">
      <selection activeCell="A23" sqref="A23:XFD23"/>
    </sheetView>
  </sheetViews>
  <sheetFormatPr defaultRowHeight="15" x14ac:dyDescent="0.25"/>
  <cols>
    <col min="1" max="1" width="24" style="3" customWidth="1"/>
    <col min="2" max="2" width="24.710937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52" t="s">
        <v>22</v>
      </c>
      <c r="C1" s="53"/>
      <c r="D1" s="1" t="s">
        <v>1</v>
      </c>
      <c r="E1" s="2"/>
      <c r="F1" s="1" t="s">
        <v>2</v>
      </c>
      <c r="G1" s="54">
        <v>44461</v>
      </c>
      <c r="H1" s="55"/>
      <c r="I1" s="55"/>
      <c r="J1" s="55"/>
      <c r="K1" s="1"/>
      <c r="L1" s="1"/>
    </row>
    <row r="2" spans="1:12" ht="16.5" thickTop="1" thickBot="1" x14ac:dyDescent="0.3">
      <c r="A2" s="4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9" t="s">
        <v>12</v>
      </c>
    </row>
    <row r="3" spans="1:12" s="36" customFormat="1" ht="15.75" thickTop="1" x14ac:dyDescent="0.25">
      <c r="A3" s="72" t="s">
        <v>27</v>
      </c>
      <c r="B3" s="29" t="s">
        <v>13</v>
      </c>
      <c r="C3" s="30" t="s">
        <v>44</v>
      </c>
      <c r="D3" s="30" t="s">
        <v>45</v>
      </c>
      <c r="E3" s="22">
        <v>60</v>
      </c>
      <c r="F3" s="23">
        <v>27.24</v>
      </c>
      <c r="G3" s="23">
        <f>161*1.2</f>
        <v>193.2</v>
      </c>
      <c r="H3" s="23">
        <f>7.61*1.2</f>
        <v>9.1319999999999997</v>
      </c>
      <c r="I3" s="23">
        <f>11.07*1.2</f>
        <v>13.284000000000001</v>
      </c>
      <c r="J3" s="24">
        <f>7.66*1.2</f>
        <v>9.1920000000000002</v>
      </c>
    </row>
    <row r="4" spans="1:12" s="41" customFormat="1" x14ac:dyDescent="0.25">
      <c r="A4" s="73"/>
      <c r="B4" s="13" t="s">
        <v>17</v>
      </c>
      <c r="C4" s="10" t="s">
        <v>52</v>
      </c>
      <c r="D4" s="10" t="s">
        <v>53</v>
      </c>
      <c r="E4" s="25">
        <v>120</v>
      </c>
      <c r="F4" s="12">
        <v>8.07</v>
      </c>
      <c r="G4" s="12">
        <f>1398*0.12</f>
        <v>167.76</v>
      </c>
      <c r="H4" s="12">
        <f>24.34*0.12</f>
        <v>2.9207999999999998</v>
      </c>
      <c r="I4" s="12">
        <f>35.83*0.12</f>
        <v>4.2995999999999999</v>
      </c>
      <c r="J4" s="14">
        <f>244.56*0.12</f>
        <v>29.347200000000001</v>
      </c>
    </row>
    <row r="5" spans="1:12" s="36" customFormat="1" x14ac:dyDescent="0.25">
      <c r="A5" s="73"/>
      <c r="B5" s="13" t="s">
        <v>39</v>
      </c>
      <c r="C5" s="10" t="s">
        <v>40</v>
      </c>
      <c r="D5" s="10" t="s">
        <v>41</v>
      </c>
      <c r="E5" s="25">
        <v>200</v>
      </c>
      <c r="F5" s="12">
        <v>8.3000000000000007</v>
      </c>
      <c r="G5" s="12">
        <v>111</v>
      </c>
      <c r="H5" s="37">
        <v>0.7</v>
      </c>
      <c r="I5" s="37">
        <v>0</v>
      </c>
      <c r="J5" s="38">
        <v>27</v>
      </c>
      <c r="K5"/>
    </row>
    <row r="6" spans="1:12" s="41" customFormat="1" x14ac:dyDescent="0.25">
      <c r="A6" s="73"/>
      <c r="B6" s="13" t="s">
        <v>43</v>
      </c>
      <c r="C6" s="10" t="s">
        <v>42</v>
      </c>
      <c r="D6" s="10" t="s">
        <v>62</v>
      </c>
      <c r="E6" s="25">
        <v>85</v>
      </c>
      <c r="F6" s="12">
        <v>13.01</v>
      </c>
      <c r="G6" s="70">
        <f>350*0.85</f>
        <v>297.5</v>
      </c>
      <c r="H6" s="70">
        <f>5*0.85</f>
        <v>4.25</v>
      </c>
      <c r="I6" s="70">
        <f>6*0.85</f>
        <v>5.0999999999999996</v>
      </c>
      <c r="J6" s="71">
        <f>69*0.85</f>
        <v>58.65</v>
      </c>
      <c r="K6"/>
    </row>
    <row r="7" spans="1:12" s="36" customFormat="1" x14ac:dyDescent="0.25">
      <c r="A7" s="73"/>
      <c r="B7" s="13" t="s">
        <v>14</v>
      </c>
      <c r="C7" s="10" t="s">
        <v>32</v>
      </c>
      <c r="D7" s="10" t="s">
        <v>33</v>
      </c>
      <c r="E7" s="25">
        <v>44.5</v>
      </c>
      <c r="F7" s="12">
        <v>1.52</v>
      </c>
      <c r="G7" s="12">
        <f>229.7*0.445</f>
        <v>102.2165</v>
      </c>
      <c r="H7" s="11">
        <f>6.7*0.445</f>
        <v>2.9815</v>
      </c>
      <c r="I7" s="11">
        <f>1.1*0.445</f>
        <v>0.48950000000000005</v>
      </c>
      <c r="J7" s="15">
        <f>48.3*0.445</f>
        <v>21.493499999999997</v>
      </c>
    </row>
    <row r="8" spans="1:12" s="36" customFormat="1" ht="15.75" thickBot="1" x14ac:dyDescent="0.3">
      <c r="A8" s="74"/>
      <c r="B8" s="16" t="s">
        <v>50</v>
      </c>
      <c r="C8" s="17" t="s">
        <v>51</v>
      </c>
      <c r="D8" s="17" t="s">
        <v>63</v>
      </c>
      <c r="E8" s="26">
        <v>100</v>
      </c>
      <c r="F8" s="27">
        <v>11.36</v>
      </c>
      <c r="G8" s="27">
        <f>47*1</f>
        <v>47</v>
      </c>
      <c r="H8" s="27">
        <f>0.4*1</f>
        <v>0.4</v>
      </c>
      <c r="I8" s="27">
        <f>0.4*1</f>
        <v>0.4</v>
      </c>
      <c r="J8" s="31">
        <f>9.8*1</f>
        <v>9.8000000000000007</v>
      </c>
    </row>
    <row r="9" spans="1:12" ht="16.5" thickBot="1" x14ac:dyDescent="0.3">
      <c r="A9" s="49" t="s">
        <v>15</v>
      </c>
      <c r="B9" s="59"/>
      <c r="C9" s="59"/>
      <c r="D9" s="59"/>
      <c r="E9" s="60"/>
      <c r="F9" s="28">
        <f>SUM(F3:F8)</f>
        <v>69.5</v>
      </c>
      <c r="G9" s="28">
        <f t="shared" ref="G9:J9" si="0">SUM(G3:G8)</f>
        <v>918.67650000000003</v>
      </c>
      <c r="H9" s="28">
        <f t="shared" si="0"/>
        <v>20.3843</v>
      </c>
      <c r="I9" s="28">
        <f t="shared" si="0"/>
        <v>23.573099999999997</v>
      </c>
      <c r="J9" s="28">
        <f t="shared" si="0"/>
        <v>155.48270000000002</v>
      </c>
    </row>
    <row r="10" spans="1:12" s="41" customFormat="1" ht="15.75" customHeight="1" x14ac:dyDescent="0.25">
      <c r="A10" s="47" t="s">
        <v>28</v>
      </c>
      <c r="B10" s="29" t="s">
        <v>16</v>
      </c>
      <c r="C10" s="30" t="s">
        <v>65</v>
      </c>
      <c r="D10" s="30" t="s">
        <v>64</v>
      </c>
      <c r="E10" s="22" t="s">
        <v>35</v>
      </c>
      <c r="F10" s="23">
        <v>12.9</v>
      </c>
      <c r="G10" s="23">
        <f>429*0.25+162*0.1</f>
        <v>123.45</v>
      </c>
      <c r="H10" s="23">
        <f>8.07*0.25+2.6*0.1</f>
        <v>2.2774999999999999</v>
      </c>
      <c r="I10" s="23">
        <f>20.36*0.25+15*0.1</f>
        <v>6.59</v>
      </c>
      <c r="J10" s="24">
        <f>47.92*0.25+3.6*0.1</f>
        <v>12.34</v>
      </c>
      <c r="K10"/>
    </row>
    <row r="11" spans="1:12" s="41" customFormat="1" x14ac:dyDescent="0.25">
      <c r="A11" s="48"/>
      <c r="B11" s="13" t="s">
        <v>13</v>
      </c>
      <c r="C11" s="10" t="s">
        <v>66</v>
      </c>
      <c r="D11" s="10" t="s">
        <v>67</v>
      </c>
      <c r="E11" s="25">
        <v>35</v>
      </c>
      <c r="F11" s="12">
        <v>22.07</v>
      </c>
      <c r="G11" s="37">
        <f>129.15*0.7</f>
        <v>90.405000000000001</v>
      </c>
      <c r="H11" s="37">
        <f>17.2*0.7</f>
        <v>12.04</v>
      </c>
      <c r="I11" s="37">
        <f>3.8*0.7</f>
        <v>2.6599999999999997</v>
      </c>
      <c r="J11" s="38">
        <f>6.6*0.7</f>
        <v>4.6199999999999992</v>
      </c>
      <c r="K11"/>
    </row>
    <row r="12" spans="1:12" s="41" customFormat="1" x14ac:dyDescent="0.25">
      <c r="A12" s="48"/>
      <c r="B12" s="13" t="s">
        <v>17</v>
      </c>
      <c r="C12" s="10" t="s">
        <v>46</v>
      </c>
      <c r="D12" s="10" t="s">
        <v>47</v>
      </c>
      <c r="E12" s="25">
        <v>100</v>
      </c>
      <c r="F12" s="12">
        <v>6.19</v>
      </c>
      <c r="G12" s="12">
        <f>1123*0.1</f>
        <v>112.30000000000001</v>
      </c>
      <c r="H12" s="12">
        <f>36.78*0.1</f>
        <v>3.6780000000000004</v>
      </c>
      <c r="I12" s="12">
        <f>30.1*0.1</f>
        <v>3.0100000000000002</v>
      </c>
      <c r="J12" s="14">
        <f>176.3*0.1</f>
        <v>17.630000000000003</v>
      </c>
    </row>
    <row r="13" spans="1:12" x14ac:dyDescent="0.25">
      <c r="A13" s="48"/>
      <c r="B13" s="13" t="s">
        <v>18</v>
      </c>
      <c r="C13" s="10" t="s">
        <v>19</v>
      </c>
      <c r="D13" s="10" t="s">
        <v>20</v>
      </c>
      <c r="E13" s="25" t="s">
        <v>34</v>
      </c>
      <c r="F13" s="12">
        <v>2.62</v>
      </c>
      <c r="G13" s="12">
        <v>60</v>
      </c>
      <c r="H13" s="12">
        <v>7.0000000000000007E-2</v>
      </c>
      <c r="I13" s="12">
        <v>0.02</v>
      </c>
      <c r="J13" s="14">
        <v>15</v>
      </c>
      <c r="K13"/>
    </row>
    <row r="14" spans="1:12" ht="15.75" thickBot="1" x14ac:dyDescent="0.3">
      <c r="A14" s="48"/>
      <c r="B14" s="16" t="s">
        <v>14</v>
      </c>
      <c r="C14" s="17" t="s">
        <v>32</v>
      </c>
      <c r="D14" s="17" t="s">
        <v>33</v>
      </c>
      <c r="E14" s="26">
        <v>36</v>
      </c>
      <c r="F14" s="27">
        <v>1.22</v>
      </c>
      <c r="G14" s="27">
        <f>229.7*0.36</f>
        <v>82.691999999999993</v>
      </c>
      <c r="H14" s="18">
        <f>6.7*0.36</f>
        <v>2.4119999999999999</v>
      </c>
      <c r="I14" s="18">
        <f>1.1*0.36</f>
        <v>0.39600000000000002</v>
      </c>
      <c r="J14" s="19">
        <f>48.3*0.36</f>
        <v>17.387999999999998</v>
      </c>
    </row>
    <row r="15" spans="1:12" ht="16.5" thickBot="1" x14ac:dyDescent="0.3">
      <c r="A15" s="61" t="s">
        <v>15</v>
      </c>
      <c r="B15" s="62"/>
      <c r="C15" s="62"/>
      <c r="D15" s="62"/>
      <c r="E15" s="63"/>
      <c r="F15" s="42">
        <f>SUM(F10:F14)</f>
        <v>44.999999999999993</v>
      </c>
      <c r="G15" s="42">
        <f t="shared" ref="G15:J15" si="1">SUM(G10:G14)</f>
        <v>468.84700000000004</v>
      </c>
      <c r="H15" s="42">
        <f t="shared" si="1"/>
        <v>20.477499999999999</v>
      </c>
      <c r="I15" s="42">
        <f t="shared" si="1"/>
        <v>12.676</v>
      </c>
      <c r="J15" s="42">
        <f t="shared" si="1"/>
        <v>66.978000000000009</v>
      </c>
    </row>
    <row r="16" spans="1:12" s="36" customFormat="1" ht="15.75" x14ac:dyDescent="0.25">
      <c r="A16" s="75" t="s">
        <v>29</v>
      </c>
      <c r="B16" s="43" t="s">
        <v>31</v>
      </c>
      <c r="C16" s="21" t="s">
        <v>58</v>
      </c>
      <c r="D16" s="21" t="s">
        <v>59</v>
      </c>
      <c r="E16" s="22">
        <v>20</v>
      </c>
      <c r="F16" s="23">
        <v>4.26</v>
      </c>
      <c r="G16" s="23">
        <f>6*0.4</f>
        <v>2.4000000000000004</v>
      </c>
      <c r="H16" s="23">
        <f>0.35*0.4</f>
        <v>0.13999999999999999</v>
      </c>
      <c r="I16" s="23">
        <f>0.05*0.4</f>
        <v>2.0000000000000004E-2</v>
      </c>
      <c r="J16" s="24">
        <f>0.95*0.4</f>
        <v>0.38</v>
      </c>
    </row>
    <row r="17" spans="1:11" s="36" customFormat="1" ht="15.75" customHeight="1" x14ac:dyDescent="0.25">
      <c r="A17" s="73"/>
      <c r="B17" s="13" t="s">
        <v>16</v>
      </c>
      <c r="C17" s="10" t="s">
        <v>65</v>
      </c>
      <c r="D17" s="10" t="s">
        <v>64</v>
      </c>
      <c r="E17" s="25" t="s">
        <v>35</v>
      </c>
      <c r="F17" s="12">
        <v>12.9</v>
      </c>
      <c r="G17" s="12">
        <f>429*0.25+162*0.1</f>
        <v>123.45</v>
      </c>
      <c r="H17" s="12">
        <f>8.07*0.25+2.6*0.1</f>
        <v>2.2774999999999999</v>
      </c>
      <c r="I17" s="12">
        <f>20.36*0.25+15*0.1</f>
        <v>6.59</v>
      </c>
      <c r="J17" s="14">
        <f>47.92*0.25+3.6*0.1</f>
        <v>12.34</v>
      </c>
      <c r="K17"/>
    </row>
    <row r="18" spans="1:11" s="36" customFormat="1" x14ac:dyDescent="0.25">
      <c r="A18" s="73"/>
      <c r="B18" s="13" t="s">
        <v>13</v>
      </c>
      <c r="C18" s="10" t="s">
        <v>66</v>
      </c>
      <c r="D18" s="10" t="s">
        <v>67</v>
      </c>
      <c r="E18" s="25">
        <v>50</v>
      </c>
      <c r="F18" s="12">
        <v>31.53</v>
      </c>
      <c r="G18" s="37">
        <f>129.15</f>
        <v>129.15</v>
      </c>
      <c r="H18" s="37">
        <f>17.2*1</f>
        <v>17.2</v>
      </c>
      <c r="I18" s="37">
        <f>3.8*1</f>
        <v>3.8</v>
      </c>
      <c r="J18" s="38">
        <f>6.6*1</f>
        <v>6.6</v>
      </c>
      <c r="K18"/>
    </row>
    <row r="19" spans="1:11" s="41" customFormat="1" x14ac:dyDescent="0.25">
      <c r="A19" s="73"/>
      <c r="B19" s="13" t="s">
        <v>17</v>
      </c>
      <c r="C19" s="10" t="s">
        <v>46</v>
      </c>
      <c r="D19" s="10" t="s">
        <v>47</v>
      </c>
      <c r="E19" s="25">
        <v>150</v>
      </c>
      <c r="F19" s="12">
        <v>9.2899999999999991</v>
      </c>
      <c r="G19" s="12">
        <f>1123*0.15</f>
        <v>168.45</v>
      </c>
      <c r="H19" s="12">
        <f>36.78*0.15</f>
        <v>5.5170000000000003</v>
      </c>
      <c r="I19" s="12">
        <f>30.1*0.15</f>
        <v>4.5149999999999997</v>
      </c>
      <c r="J19" s="14">
        <f>176.3*0.15</f>
        <v>26.445</v>
      </c>
    </row>
    <row r="20" spans="1:11" x14ac:dyDescent="0.25">
      <c r="A20" s="73"/>
      <c r="B20" s="13" t="s">
        <v>39</v>
      </c>
      <c r="C20" s="10" t="s">
        <v>56</v>
      </c>
      <c r="D20" s="10" t="s">
        <v>57</v>
      </c>
      <c r="E20" s="25">
        <v>200</v>
      </c>
      <c r="F20" s="12">
        <v>6.21</v>
      </c>
      <c r="G20" s="12">
        <v>93</v>
      </c>
      <c r="H20" s="37">
        <v>0.1</v>
      </c>
      <c r="I20" s="37">
        <v>0</v>
      </c>
      <c r="J20" s="38">
        <v>24.2</v>
      </c>
      <c r="K20"/>
    </row>
    <row r="21" spans="1:11" s="41" customFormat="1" x14ac:dyDescent="0.25">
      <c r="A21" s="73"/>
      <c r="B21" s="13" t="s">
        <v>21</v>
      </c>
      <c r="C21" s="10" t="s">
        <v>48</v>
      </c>
      <c r="D21" s="10" t="s">
        <v>49</v>
      </c>
      <c r="E21" s="25">
        <v>50</v>
      </c>
      <c r="F21" s="12">
        <v>3.69</v>
      </c>
      <c r="G21" s="12">
        <f>318*0.5</f>
        <v>159</v>
      </c>
      <c r="H21" s="11">
        <f>7.28*0.5</f>
        <v>3.64</v>
      </c>
      <c r="I21" s="11">
        <f>12.52*0.5</f>
        <v>6.26</v>
      </c>
      <c r="J21" s="15">
        <f>43.92*0.5</f>
        <v>21.96</v>
      </c>
    </row>
    <row r="22" spans="1:11" s="41" customFormat="1" ht="15.75" thickBot="1" x14ac:dyDescent="0.3">
      <c r="A22" s="74"/>
      <c r="B22" s="16" t="s">
        <v>14</v>
      </c>
      <c r="C22" s="17" t="s">
        <v>32</v>
      </c>
      <c r="D22" s="17" t="s">
        <v>33</v>
      </c>
      <c r="E22" s="26">
        <v>47.5</v>
      </c>
      <c r="F22" s="27">
        <v>1.62</v>
      </c>
      <c r="G22" s="27">
        <f>229.7*0.475</f>
        <v>109.10749999999999</v>
      </c>
      <c r="H22" s="18">
        <f>6.7*0.475</f>
        <v>3.1825000000000001</v>
      </c>
      <c r="I22" s="18">
        <f>1.1*0.475</f>
        <v>0.52249999999999996</v>
      </c>
      <c r="J22" s="19">
        <f>48.3*0.475</f>
        <v>22.942499999999999</v>
      </c>
    </row>
    <row r="23" spans="1:11" ht="16.5" thickBot="1" x14ac:dyDescent="0.3">
      <c r="A23" s="49" t="s">
        <v>15</v>
      </c>
      <c r="B23" s="59"/>
      <c r="C23" s="59"/>
      <c r="D23" s="59"/>
      <c r="E23" s="60"/>
      <c r="F23" s="28">
        <f>SUM(F16:F22)</f>
        <v>69.5</v>
      </c>
      <c r="G23" s="28">
        <f t="shared" ref="G23:J23" si="2">SUM(G16:G22)</f>
        <v>784.5575</v>
      </c>
      <c r="H23" s="28">
        <f t="shared" si="2"/>
        <v>32.057000000000002</v>
      </c>
      <c r="I23" s="28">
        <f t="shared" si="2"/>
        <v>21.707500000000003</v>
      </c>
      <c r="J23" s="28">
        <f t="shared" si="2"/>
        <v>114.86750000000001</v>
      </c>
      <c r="K23"/>
    </row>
    <row r="24" spans="1:11" s="36" customFormat="1" x14ac:dyDescent="0.25">
      <c r="A24" s="47" t="s">
        <v>30</v>
      </c>
      <c r="B24" s="29" t="s">
        <v>54</v>
      </c>
      <c r="C24" s="30" t="s">
        <v>42</v>
      </c>
      <c r="D24" s="30" t="s">
        <v>55</v>
      </c>
      <c r="E24" s="22">
        <v>150</v>
      </c>
      <c r="F24" s="23">
        <v>23.59</v>
      </c>
      <c r="G24" s="23">
        <f>96*1.5</f>
        <v>144</v>
      </c>
      <c r="H24" s="23">
        <f>3.5*1.5</f>
        <v>5.25</v>
      </c>
      <c r="I24" s="23">
        <f>2.5*1.5</f>
        <v>3.75</v>
      </c>
      <c r="J24" s="24">
        <f>15*1.5</f>
        <v>22.5</v>
      </c>
      <c r="K24"/>
    </row>
    <row r="25" spans="1:11" s="41" customFormat="1" x14ac:dyDescent="0.25">
      <c r="A25" s="48"/>
      <c r="B25" s="13" t="s">
        <v>43</v>
      </c>
      <c r="C25" s="10" t="s">
        <v>42</v>
      </c>
      <c r="D25" s="10" t="s">
        <v>68</v>
      </c>
      <c r="E25" s="80" t="s">
        <v>69</v>
      </c>
      <c r="F25" s="11">
        <v>4.68</v>
      </c>
      <c r="G25" s="70">
        <f>450*0.24</f>
        <v>108</v>
      </c>
      <c r="H25" s="70">
        <f>7.5*0.24</f>
        <v>1.7999999999999998</v>
      </c>
      <c r="I25" s="70">
        <f>16*0.24</f>
        <v>3.84</v>
      </c>
      <c r="J25" s="71">
        <f>66*0.24</f>
        <v>15.84</v>
      </c>
      <c r="K25"/>
    </row>
    <row r="26" spans="1:11" s="41" customFormat="1" ht="15.75" thickBot="1" x14ac:dyDescent="0.3">
      <c r="A26" s="48"/>
      <c r="B26" s="16" t="s">
        <v>50</v>
      </c>
      <c r="C26" s="17" t="s">
        <v>51</v>
      </c>
      <c r="D26" s="17" t="s">
        <v>70</v>
      </c>
      <c r="E26" s="26">
        <v>65</v>
      </c>
      <c r="F26" s="27">
        <v>16.73</v>
      </c>
      <c r="G26" s="27">
        <f>47*0.65</f>
        <v>30.55</v>
      </c>
      <c r="H26" s="27">
        <f>0.4*0.65</f>
        <v>0.26</v>
      </c>
      <c r="I26" s="27">
        <f>0.3*0.65</f>
        <v>0.19500000000000001</v>
      </c>
      <c r="J26" s="31">
        <f>10.3*0.65</f>
        <v>6.6950000000000003</v>
      </c>
    </row>
    <row r="27" spans="1:11" ht="16.5" thickBot="1" x14ac:dyDescent="0.3">
      <c r="A27" s="49" t="s">
        <v>15</v>
      </c>
      <c r="B27" s="50"/>
      <c r="C27" s="50"/>
      <c r="D27" s="50"/>
      <c r="E27" s="51"/>
      <c r="F27" s="5">
        <f>SUM(F24:F26)</f>
        <v>45</v>
      </c>
      <c r="G27" s="5">
        <f t="shared" ref="G27:J27" si="3">SUM(G24:G26)</f>
        <v>282.55</v>
      </c>
      <c r="H27" s="5">
        <f t="shared" si="3"/>
        <v>7.31</v>
      </c>
      <c r="I27" s="5">
        <f t="shared" si="3"/>
        <v>7.7850000000000001</v>
      </c>
      <c r="J27" s="5">
        <f t="shared" si="3"/>
        <v>45.035000000000004</v>
      </c>
      <c r="K27"/>
    </row>
    <row r="29" spans="1:11" ht="15.75" thickBot="1" x14ac:dyDescent="0.3">
      <c r="A29" s="57" t="s">
        <v>25</v>
      </c>
      <c r="B29" s="57"/>
      <c r="C29" s="57"/>
      <c r="D29" s="57"/>
      <c r="E29" s="57"/>
      <c r="F29" s="57"/>
      <c r="G29" s="57"/>
      <c r="H29" s="57"/>
      <c r="I29" s="57"/>
      <c r="J29" s="57"/>
    </row>
    <row r="30" spans="1:11" ht="15.75" x14ac:dyDescent="0.25">
      <c r="A30" s="33"/>
      <c r="B30" s="33"/>
      <c r="C30" s="56" t="s">
        <v>23</v>
      </c>
      <c r="D30" s="56"/>
      <c r="G30" s="58"/>
      <c r="H30" s="58"/>
      <c r="I30" s="58"/>
      <c r="J30" s="58"/>
    </row>
    <row r="31" spans="1:11" x14ac:dyDescent="0.25">
      <c r="A31" s="1"/>
      <c r="B31" s="1"/>
      <c r="C31" s="1"/>
      <c r="D31" s="1"/>
    </row>
    <row r="32" spans="1:11" x14ac:dyDescent="0.25">
      <c r="A32" s="44" t="s">
        <v>24</v>
      </c>
      <c r="B32" s="44"/>
    </row>
    <row r="33" spans="1:2" x14ac:dyDescent="0.25">
      <c r="A33" s="44" t="s">
        <v>26</v>
      </c>
      <c r="B33" s="44"/>
    </row>
    <row r="34" spans="1:2" x14ac:dyDescent="0.25">
      <c r="A34" s="6"/>
    </row>
  </sheetData>
  <mergeCells count="15">
    <mergeCell ref="B1:C1"/>
    <mergeCell ref="G1:J1"/>
    <mergeCell ref="C30:D30"/>
    <mergeCell ref="A29:J29"/>
    <mergeCell ref="G30:J30"/>
    <mergeCell ref="A9:E9"/>
    <mergeCell ref="A10:A14"/>
    <mergeCell ref="A15:E15"/>
    <mergeCell ref="A23:E23"/>
    <mergeCell ref="A32:B32"/>
    <mergeCell ref="A33:B33"/>
    <mergeCell ref="A3:A8"/>
    <mergeCell ref="A24:A26"/>
    <mergeCell ref="A27:E27"/>
    <mergeCell ref="A16:A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G2" sqref="G2"/>
    </sheetView>
  </sheetViews>
  <sheetFormatPr defaultRowHeight="15" x14ac:dyDescent="0.25"/>
  <cols>
    <col min="1" max="1" width="37.85546875" style="3" customWidth="1"/>
    <col min="2" max="2" width="17.2851562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66" t="s">
        <v>22</v>
      </c>
      <c r="C1" s="67"/>
      <c r="D1" s="1" t="s">
        <v>1</v>
      </c>
      <c r="E1" s="40"/>
      <c r="F1" s="1" t="s">
        <v>2</v>
      </c>
      <c r="G1" s="68">
        <v>44461</v>
      </c>
      <c r="H1" s="69"/>
      <c r="I1" s="69"/>
      <c r="J1" s="69"/>
      <c r="K1" s="1"/>
      <c r="L1" s="1"/>
    </row>
    <row r="2" spans="1:12" ht="16.5" thickTop="1" thickBot="1" x14ac:dyDescent="0.3">
      <c r="A2" s="39" t="s">
        <v>3</v>
      </c>
      <c r="B2" s="81" t="s">
        <v>4</v>
      </c>
      <c r="C2" s="82" t="s">
        <v>5</v>
      </c>
      <c r="D2" s="82" t="s">
        <v>6</v>
      </c>
      <c r="E2" s="82" t="s">
        <v>7</v>
      </c>
      <c r="F2" s="82" t="s">
        <v>8</v>
      </c>
      <c r="G2" s="82" t="s">
        <v>9</v>
      </c>
      <c r="H2" s="82" t="s">
        <v>10</v>
      </c>
      <c r="I2" s="82" t="s">
        <v>11</v>
      </c>
      <c r="J2" s="83" t="s">
        <v>12</v>
      </c>
    </row>
    <row r="3" spans="1:12" s="41" customFormat="1" ht="16.5" thickTop="1" x14ac:dyDescent="0.25">
      <c r="A3" s="45" t="s">
        <v>36</v>
      </c>
      <c r="B3" s="43" t="s">
        <v>31</v>
      </c>
      <c r="C3" s="21" t="s">
        <v>58</v>
      </c>
      <c r="D3" s="21" t="s">
        <v>71</v>
      </c>
      <c r="E3" s="22">
        <v>30</v>
      </c>
      <c r="F3" s="23">
        <v>2.4</v>
      </c>
      <c r="G3" s="23">
        <f>11*0.6</f>
        <v>6.6</v>
      </c>
      <c r="H3" s="23">
        <f>0.55*0.6</f>
        <v>0.33</v>
      </c>
      <c r="I3" s="23">
        <f>0.1*0.6</f>
        <v>0.06</v>
      </c>
      <c r="J3" s="24">
        <f>1.9*0.6</f>
        <v>1.1399999999999999</v>
      </c>
    </row>
    <row r="4" spans="1:12" s="41" customFormat="1" x14ac:dyDescent="0.25">
      <c r="A4" s="46"/>
      <c r="B4" s="13" t="s">
        <v>13</v>
      </c>
      <c r="C4" s="10" t="s">
        <v>44</v>
      </c>
      <c r="D4" s="10" t="s">
        <v>45</v>
      </c>
      <c r="E4" s="25">
        <v>60</v>
      </c>
      <c r="F4" s="12">
        <v>27.24</v>
      </c>
      <c r="G4" s="12">
        <f>161*1.2</f>
        <v>193.2</v>
      </c>
      <c r="H4" s="12">
        <f>7.61*1.2</f>
        <v>9.1319999999999997</v>
      </c>
      <c r="I4" s="12">
        <f>11.07*1.2</f>
        <v>13.284000000000001</v>
      </c>
      <c r="J4" s="14">
        <f>7.66*1.2</f>
        <v>9.1920000000000002</v>
      </c>
    </row>
    <row r="5" spans="1:12" s="41" customFormat="1" x14ac:dyDescent="0.25">
      <c r="A5" s="46"/>
      <c r="B5" s="13" t="s">
        <v>17</v>
      </c>
      <c r="C5" s="10" t="s">
        <v>52</v>
      </c>
      <c r="D5" s="10" t="s">
        <v>53</v>
      </c>
      <c r="E5" s="25">
        <v>150</v>
      </c>
      <c r="F5" s="12">
        <v>10.08</v>
      </c>
      <c r="G5" s="12">
        <f>1398*0.15</f>
        <v>209.7</v>
      </c>
      <c r="H5" s="12">
        <f>24.34*0.15</f>
        <v>3.6509999999999998</v>
      </c>
      <c r="I5" s="12">
        <f>35.83*0.15</f>
        <v>5.3744999999999994</v>
      </c>
      <c r="J5" s="14">
        <f>244.56*0.15</f>
        <v>36.683999999999997</v>
      </c>
    </row>
    <row r="6" spans="1:12" s="41" customFormat="1" x14ac:dyDescent="0.25">
      <c r="A6" s="46"/>
      <c r="B6" s="13" t="s">
        <v>39</v>
      </c>
      <c r="C6" s="10" t="s">
        <v>40</v>
      </c>
      <c r="D6" s="10" t="s">
        <v>41</v>
      </c>
      <c r="E6" s="25">
        <v>200</v>
      </c>
      <c r="F6" s="12">
        <v>8.3000000000000007</v>
      </c>
      <c r="G6" s="12">
        <v>111</v>
      </c>
      <c r="H6" s="37">
        <v>0.7</v>
      </c>
      <c r="I6" s="37">
        <v>0</v>
      </c>
      <c r="J6" s="38">
        <v>27</v>
      </c>
      <c r="K6"/>
    </row>
    <row r="7" spans="1:12" x14ac:dyDescent="0.25">
      <c r="A7" s="46"/>
      <c r="B7" s="13" t="s">
        <v>21</v>
      </c>
      <c r="C7" s="10" t="s">
        <v>72</v>
      </c>
      <c r="D7" s="10" t="s">
        <v>73</v>
      </c>
      <c r="E7" s="25">
        <v>50</v>
      </c>
      <c r="F7" s="12">
        <v>3.12</v>
      </c>
      <c r="G7" s="12">
        <f>321*0.5</f>
        <v>160.5</v>
      </c>
      <c r="H7" s="11">
        <f>6.78*0.5</f>
        <v>3.39</v>
      </c>
      <c r="I7" s="11">
        <f>13.96*0.5</f>
        <v>6.98</v>
      </c>
      <c r="J7" s="15">
        <f>42.14*0.5</f>
        <v>21.07</v>
      </c>
    </row>
    <row r="8" spans="1:12" x14ac:dyDescent="0.25">
      <c r="A8" s="46"/>
      <c r="B8" s="13" t="s">
        <v>14</v>
      </c>
      <c r="C8" s="10" t="s">
        <v>32</v>
      </c>
      <c r="D8" s="10" t="s">
        <v>33</v>
      </c>
      <c r="E8" s="25">
        <v>39</v>
      </c>
      <c r="F8" s="12">
        <v>1.32</v>
      </c>
      <c r="G8" s="12">
        <f>229.7*0.39</f>
        <v>89.582999999999998</v>
      </c>
      <c r="H8" s="11">
        <f>6.7*0.39</f>
        <v>2.613</v>
      </c>
      <c r="I8" s="11">
        <f>1.1*0.39</f>
        <v>0.42900000000000005</v>
      </c>
      <c r="J8" s="15">
        <f>48.3*0.39</f>
        <v>18.837</v>
      </c>
    </row>
    <row r="9" spans="1:12" s="41" customFormat="1" ht="15.75" thickBot="1" x14ac:dyDescent="0.3">
      <c r="A9" s="46"/>
      <c r="B9" s="16" t="s">
        <v>50</v>
      </c>
      <c r="C9" s="17" t="s">
        <v>60</v>
      </c>
      <c r="D9" s="17" t="s">
        <v>61</v>
      </c>
      <c r="E9" s="17">
        <v>170</v>
      </c>
      <c r="F9" s="18">
        <v>17.04</v>
      </c>
      <c r="G9" s="18">
        <f>47*1.7</f>
        <v>79.899999999999991</v>
      </c>
      <c r="H9" s="18">
        <f>0.4*1.7</f>
        <v>0.68</v>
      </c>
      <c r="I9" s="18">
        <f>0.4*1.7</f>
        <v>0.68</v>
      </c>
      <c r="J9" s="19">
        <f>9.8*1.7</f>
        <v>16.66</v>
      </c>
    </row>
    <row r="10" spans="1:12" ht="16.5" thickBot="1" x14ac:dyDescent="0.3">
      <c r="A10" s="49" t="s">
        <v>15</v>
      </c>
      <c r="B10" s="59"/>
      <c r="C10" s="59"/>
      <c r="D10" s="59"/>
      <c r="E10" s="60"/>
      <c r="F10" s="28">
        <f>SUM(F3:F9)</f>
        <v>69.5</v>
      </c>
      <c r="G10" s="28">
        <f t="shared" ref="G10:J10" si="0">SUM(G3:G9)</f>
        <v>850.48299999999995</v>
      </c>
      <c r="H10" s="28">
        <f t="shared" si="0"/>
        <v>20.495999999999999</v>
      </c>
      <c r="I10" s="28">
        <f t="shared" si="0"/>
        <v>26.807499999999997</v>
      </c>
      <c r="J10" s="28">
        <f t="shared" si="0"/>
        <v>130.583</v>
      </c>
    </row>
    <row r="11" spans="1:12" s="36" customFormat="1" ht="15.75" thickTop="1" x14ac:dyDescent="0.25">
      <c r="A11" s="45" t="s">
        <v>37</v>
      </c>
      <c r="B11" s="29" t="s">
        <v>13</v>
      </c>
      <c r="C11" s="30" t="s">
        <v>44</v>
      </c>
      <c r="D11" s="30" t="s">
        <v>45</v>
      </c>
      <c r="E11" s="22">
        <v>35</v>
      </c>
      <c r="F11" s="23">
        <v>15.9</v>
      </c>
      <c r="G11" s="23">
        <f>161*0.7</f>
        <v>112.69999999999999</v>
      </c>
      <c r="H11" s="23">
        <f>7.61*0.7</f>
        <v>5.327</v>
      </c>
      <c r="I11" s="23">
        <f>11.07*0.7</f>
        <v>7.7489999999999997</v>
      </c>
      <c r="J11" s="24">
        <f>7.66*0.7</f>
        <v>5.3620000000000001</v>
      </c>
    </row>
    <row r="12" spans="1:12" s="41" customFormat="1" x14ac:dyDescent="0.25">
      <c r="A12" s="46"/>
      <c r="B12" s="13" t="s">
        <v>17</v>
      </c>
      <c r="C12" s="10" t="s">
        <v>52</v>
      </c>
      <c r="D12" s="10" t="s">
        <v>53</v>
      </c>
      <c r="E12" s="25">
        <v>120</v>
      </c>
      <c r="F12" s="12">
        <v>8.06</v>
      </c>
      <c r="G12" s="12">
        <f>1398*0.12</f>
        <v>167.76</v>
      </c>
      <c r="H12" s="12">
        <f>24.34*0.12</f>
        <v>2.9207999999999998</v>
      </c>
      <c r="I12" s="12">
        <f>35.83*0.12</f>
        <v>4.2995999999999999</v>
      </c>
      <c r="J12" s="14">
        <f>244.56*0.12</f>
        <v>29.347200000000001</v>
      </c>
    </row>
    <row r="13" spans="1:12" s="41" customFormat="1" x14ac:dyDescent="0.25">
      <c r="A13" s="46"/>
      <c r="B13" s="13" t="s">
        <v>18</v>
      </c>
      <c r="C13" s="10" t="s">
        <v>19</v>
      </c>
      <c r="D13" s="10" t="s">
        <v>20</v>
      </c>
      <c r="E13" s="25" t="s">
        <v>34</v>
      </c>
      <c r="F13" s="12">
        <v>2.62</v>
      </c>
      <c r="G13" s="12">
        <v>60</v>
      </c>
      <c r="H13" s="12">
        <v>7.0000000000000007E-2</v>
      </c>
      <c r="I13" s="12">
        <v>0.02</v>
      </c>
      <c r="J13" s="14">
        <v>15</v>
      </c>
    </row>
    <row r="14" spans="1:12" ht="15.75" thickBot="1" x14ac:dyDescent="0.3">
      <c r="A14" s="46"/>
      <c r="B14" s="16" t="s">
        <v>14</v>
      </c>
      <c r="C14" s="17" t="s">
        <v>32</v>
      </c>
      <c r="D14" s="17" t="s">
        <v>33</v>
      </c>
      <c r="E14" s="26">
        <v>12.5</v>
      </c>
      <c r="F14" s="27">
        <v>0.42</v>
      </c>
      <c r="G14" s="27">
        <f>229.7*0.125</f>
        <v>28.712499999999999</v>
      </c>
      <c r="H14" s="18">
        <f>6.7*0.125</f>
        <v>0.83750000000000002</v>
      </c>
      <c r="I14" s="18">
        <f>1.1*0.125</f>
        <v>0.13750000000000001</v>
      </c>
      <c r="J14" s="19">
        <f>48.3*0.125</f>
        <v>6.0374999999999996</v>
      </c>
    </row>
    <row r="15" spans="1:12" ht="16.5" thickBot="1" x14ac:dyDescent="0.3">
      <c r="A15" s="49" t="s">
        <v>15</v>
      </c>
      <c r="B15" s="59"/>
      <c r="C15" s="59"/>
      <c r="D15" s="59"/>
      <c r="E15" s="60"/>
      <c r="F15" s="28">
        <f>SUM(F11:F14)</f>
        <v>27.000000000000004</v>
      </c>
      <c r="G15" s="28">
        <f t="shared" ref="G15:J15" si="1">SUM(G11:G14)</f>
        <v>369.17249999999996</v>
      </c>
      <c r="H15" s="28">
        <f t="shared" si="1"/>
        <v>9.1553000000000004</v>
      </c>
      <c r="I15" s="28">
        <f t="shared" si="1"/>
        <v>12.206099999999999</v>
      </c>
      <c r="J15" s="28">
        <f t="shared" si="1"/>
        <v>55.746700000000004</v>
      </c>
    </row>
    <row r="16" spans="1:12" s="41" customFormat="1" ht="15.75" thickTop="1" x14ac:dyDescent="0.25">
      <c r="A16" s="45" t="s">
        <v>38</v>
      </c>
      <c r="B16" s="20" t="s">
        <v>31</v>
      </c>
      <c r="C16" s="21" t="s">
        <v>74</v>
      </c>
      <c r="D16" s="21" t="s">
        <v>75</v>
      </c>
      <c r="E16" s="84" t="s">
        <v>76</v>
      </c>
      <c r="F16" s="22">
        <v>4.38</v>
      </c>
      <c r="G16" s="34">
        <f>660*0.04+280*0.25</f>
        <v>96.4</v>
      </c>
      <c r="H16" s="34">
        <f>0.8*0.04+8*0.225</f>
        <v>1.8320000000000001</v>
      </c>
      <c r="I16" s="34">
        <f>72.5*0.04+3*0.225</f>
        <v>3.5750000000000002</v>
      </c>
      <c r="J16" s="35">
        <f>1.3*0.04+54*0.225</f>
        <v>12.202</v>
      </c>
    </row>
    <row r="17" spans="1:11" ht="15.75" thickBot="1" x14ac:dyDescent="0.3">
      <c r="A17" s="46"/>
      <c r="B17" s="16" t="s">
        <v>18</v>
      </c>
      <c r="C17" s="17" t="s">
        <v>19</v>
      </c>
      <c r="D17" s="17" t="s">
        <v>20</v>
      </c>
      <c r="E17" s="26" t="s">
        <v>34</v>
      </c>
      <c r="F17" s="27">
        <v>2.62</v>
      </c>
      <c r="G17" s="27">
        <v>60</v>
      </c>
      <c r="H17" s="27">
        <v>7.0000000000000007E-2</v>
      </c>
      <c r="I17" s="27">
        <v>0.02</v>
      </c>
      <c r="J17" s="31">
        <v>15</v>
      </c>
    </row>
    <row r="18" spans="1:11" ht="16.5" thickBot="1" x14ac:dyDescent="0.3">
      <c r="A18" s="49" t="s">
        <v>15</v>
      </c>
      <c r="B18" s="59"/>
      <c r="C18" s="59"/>
      <c r="D18" s="59"/>
      <c r="E18" s="60"/>
      <c r="F18" s="28">
        <f>SUM(F16:F17)</f>
        <v>7</v>
      </c>
      <c r="G18" s="28">
        <f t="shared" ref="G18:J18" si="2">SUM(G16:G17)</f>
        <v>156.4</v>
      </c>
      <c r="H18" s="28">
        <f t="shared" si="2"/>
        <v>1.9020000000000001</v>
      </c>
      <c r="I18" s="28">
        <f t="shared" si="2"/>
        <v>3.5950000000000002</v>
      </c>
      <c r="J18" s="28">
        <f t="shared" si="2"/>
        <v>27.201999999999998</v>
      </c>
    </row>
    <row r="19" spans="1:11" s="41" customFormat="1" ht="15.75" customHeight="1" x14ac:dyDescent="0.25">
      <c r="A19" s="47" t="s">
        <v>28</v>
      </c>
      <c r="B19" s="29" t="s">
        <v>16</v>
      </c>
      <c r="C19" s="30" t="s">
        <v>65</v>
      </c>
      <c r="D19" s="30" t="s">
        <v>64</v>
      </c>
      <c r="E19" s="22" t="s">
        <v>35</v>
      </c>
      <c r="F19" s="23">
        <v>12.9</v>
      </c>
      <c r="G19" s="23">
        <f>429*0.25+162*0.1</f>
        <v>123.45</v>
      </c>
      <c r="H19" s="23">
        <f>8.07*0.25+2.6*0.1</f>
        <v>2.2774999999999999</v>
      </c>
      <c r="I19" s="23">
        <f>20.36*0.25+15*0.1</f>
        <v>6.59</v>
      </c>
      <c r="J19" s="24">
        <f>47.92*0.25+3.6*0.1</f>
        <v>12.34</v>
      </c>
      <c r="K19"/>
    </row>
    <row r="20" spans="1:11" s="41" customFormat="1" x14ac:dyDescent="0.25">
      <c r="A20" s="48"/>
      <c r="B20" s="13" t="s">
        <v>13</v>
      </c>
      <c r="C20" s="10" t="s">
        <v>66</v>
      </c>
      <c r="D20" s="10" t="s">
        <v>67</v>
      </c>
      <c r="E20" s="25">
        <v>35</v>
      </c>
      <c r="F20" s="12">
        <v>22.07</v>
      </c>
      <c r="G20" s="37">
        <f>129.15*0.7</f>
        <v>90.405000000000001</v>
      </c>
      <c r="H20" s="37">
        <f>17.2*0.7</f>
        <v>12.04</v>
      </c>
      <c r="I20" s="37">
        <f>3.8*0.7</f>
        <v>2.6599999999999997</v>
      </c>
      <c r="J20" s="38">
        <f>6.6*0.7</f>
        <v>4.6199999999999992</v>
      </c>
      <c r="K20"/>
    </row>
    <row r="21" spans="1:11" s="41" customFormat="1" x14ac:dyDescent="0.25">
      <c r="A21" s="48"/>
      <c r="B21" s="13" t="s">
        <v>17</v>
      </c>
      <c r="C21" s="10" t="s">
        <v>46</v>
      </c>
      <c r="D21" s="10" t="s">
        <v>47</v>
      </c>
      <c r="E21" s="25">
        <v>100</v>
      </c>
      <c r="F21" s="12">
        <v>6.19</v>
      </c>
      <c r="G21" s="12">
        <f>1123*0.1</f>
        <v>112.30000000000001</v>
      </c>
      <c r="H21" s="12">
        <f>36.78*0.1</f>
        <v>3.6780000000000004</v>
      </c>
      <c r="I21" s="12">
        <f>30.1*0.1</f>
        <v>3.0100000000000002</v>
      </c>
      <c r="J21" s="14">
        <f>176.3*0.1</f>
        <v>17.630000000000003</v>
      </c>
    </row>
    <row r="22" spans="1:11" s="41" customFormat="1" x14ac:dyDescent="0.25">
      <c r="A22" s="48"/>
      <c r="B22" s="13" t="s">
        <v>18</v>
      </c>
      <c r="C22" s="10" t="s">
        <v>19</v>
      </c>
      <c r="D22" s="10" t="s">
        <v>20</v>
      </c>
      <c r="E22" s="25" t="s">
        <v>34</v>
      </c>
      <c r="F22" s="12">
        <v>2.62</v>
      </c>
      <c r="G22" s="12">
        <v>60</v>
      </c>
      <c r="H22" s="12">
        <v>7.0000000000000007E-2</v>
      </c>
      <c r="I22" s="12">
        <v>0.02</v>
      </c>
      <c r="J22" s="14">
        <v>15</v>
      </c>
      <c r="K22"/>
    </row>
    <row r="23" spans="1:11" s="41" customFormat="1" ht="15.75" thickBot="1" x14ac:dyDescent="0.3">
      <c r="A23" s="48"/>
      <c r="B23" s="16" t="s">
        <v>14</v>
      </c>
      <c r="C23" s="17" t="s">
        <v>32</v>
      </c>
      <c r="D23" s="17" t="s">
        <v>33</v>
      </c>
      <c r="E23" s="26">
        <v>36</v>
      </c>
      <c r="F23" s="27">
        <v>1.22</v>
      </c>
      <c r="G23" s="27">
        <f>229.7*0.36</f>
        <v>82.691999999999993</v>
      </c>
      <c r="H23" s="18">
        <f>6.7*0.36</f>
        <v>2.4119999999999999</v>
      </c>
      <c r="I23" s="18">
        <f>1.1*0.36</f>
        <v>0.39600000000000002</v>
      </c>
      <c r="J23" s="19">
        <f>48.3*0.36</f>
        <v>17.387999999999998</v>
      </c>
    </row>
    <row r="24" spans="1:11" ht="16.5" thickBot="1" x14ac:dyDescent="0.3">
      <c r="A24" s="61" t="s">
        <v>15</v>
      </c>
      <c r="B24" s="64"/>
      <c r="C24" s="64"/>
      <c r="D24" s="64"/>
      <c r="E24" s="65"/>
      <c r="F24" s="32">
        <f>SUM(F19:F23)</f>
        <v>44.999999999999993</v>
      </c>
      <c r="G24" s="32">
        <f t="shared" ref="G24:J24" si="3">SUM(G19:G23)</f>
        <v>468.84700000000004</v>
      </c>
      <c r="H24" s="32">
        <f t="shared" si="3"/>
        <v>20.477499999999999</v>
      </c>
      <c r="I24" s="32">
        <f t="shared" si="3"/>
        <v>12.676</v>
      </c>
      <c r="J24" s="32">
        <f t="shared" si="3"/>
        <v>66.978000000000009</v>
      </c>
    </row>
    <row r="25" spans="1:11" s="41" customFormat="1" ht="15.75" x14ac:dyDescent="0.25">
      <c r="A25" s="75" t="s">
        <v>29</v>
      </c>
      <c r="B25" s="43" t="s">
        <v>31</v>
      </c>
      <c r="C25" s="21" t="s">
        <v>58</v>
      </c>
      <c r="D25" s="21" t="s">
        <v>59</v>
      </c>
      <c r="E25" s="22">
        <v>20</v>
      </c>
      <c r="F25" s="23">
        <v>4.26</v>
      </c>
      <c r="G25" s="23">
        <f>6*0.4</f>
        <v>2.4000000000000004</v>
      </c>
      <c r="H25" s="23">
        <f>0.35*0.4</f>
        <v>0.13999999999999999</v>
      </c>
      <c r="I25" s="23">
        <f>0.05*0.4</f>
        <v>2.0000000000000004E-2</v>
      </c>
      <c r="J25" s="24">
        <f>0.95*0.4</f>
        <v>0.38</v>
      </c>
    </row>
    <row r="26" spans="1:11" s="41" customFormat="1" ht="15.75" customHeight="1" x14ac:dyDescent="0.25">
      <c r="A26" s="73"/>
      <c r="B26" s="13" t="s">
        <v>16</v>
      </c>
      <c r="C26" s="10" t="s">
        <v>65</v>
      </c>
      <c r="D26" s="10" t="s">
        <v>64</v>
      </c>
      <c r="E26" s="25" t="s">
        <v>35</v>
      </c>
      <c r="F26" s="12">
        <v>12.9</v>
      </c>
      <c r="G26" s="12">
        <f>429*0.25+162*0.1</f>
        <v>123.45</v>
      </c>
      <c r="H26" s="12">
        <f>8.07*0.25+2.6*0.1</f>
        <v>2.2774999999999999</v>
      </c>
      <c r="I26" s="12">
        <f>20.36*0.25+15*0.1</f>
        <v>6.59</v>
      </c>
      <c r="J26" s="14">
        <f>47.92*0.25+3.6*0.1</f>
        <v>12.34</v>
      </c>
      <c r="K26"/>
    </row>
    <row r="27" spans="1:11" s="41" customFormat="1" x14ac:dyDescent="0.25">
      <c r="A27" s="73"/>
      <c r="B27" s="13" t="s">
        <v>13</v>
      </c>
      <c r="C27" s="10" t="s">
        <v>66</v>
      </c>
      <c r="D27" s="10" t="s">
        <v>67</v>
      </c>
      <c r="E27" s="25">
        <v>50</v>
      </c>
      <c r="F27" s="12">
        <v>31.53</v>
      </c>
      <c r="G27" s="37">
        <f>129.15</f>
        <v>129.15</v>
      </c>
      <c r="H27" s="37">
        <f>17.2*1</f>
        <v>17.2</v>
      </c>
      <c r="I27" s="37">
        <f>3.8*1</f>
        <v>3.8</v>
      </c>
      <c r="J27" s="38">
        <f>6.6*1</f>
        <v>6.6</v>
      </c>
      <c r="K27"/>
    </row>
    <row r="28" spans="1:11" s="41" customFormat="1" x14ac:dyDescent="0.25">
      <c r="A28" s="73"/>
      <c r="B28" s="13" t="s">
        <v>17</v>
      </c>
      <c r="C28" s="10" t="s">
        <v>46</v>
      </c>
      <c r="D28" s="10" t="s">
        <v>47</v>
      </c>
      <c r="E28" s="25">
        <v>150</v>
      </c>
      <c r="F28" s="12">
        <v>9.2899999999999991</v>
      </c>
      <c r="G28" s="12">
        <f>1123*0.15</f>
        <v>168.45</v>
      </c>
      <c r="H28" s="12">
        <f>36.78*0.15</f>
        <v>5.5170000000000003</v>
      </c>
      <c r="I28" s="12">
        <f>30.1*0.15</f>
        <v>4.5149999999999997</v>
      </c>
      <c r="J28" s="14">
        <f>176.3*0.15</f>
        <v>26.445</v>
      </c>
    </row>
    <row r="29" spans="1:11" s="41" customFormat="1" x14ac:dyDescent="0.25">
      <c r="A29" s="73"/>
      <c r="B29" s="13" t="s">
        <v>39</v>
      </c>
      <c r="C29" s="10" t="s">
        <v>56</v>
      </c>
      <c r="D29" s="10" t="s">
        <v>57</v>
      </c>
      <c r="E29" s="25">
        <v>200</v>
      </c>
      <c r="F29" s="12">
        <v>6.21</v>
      </c>
      <c r="G29" s="12">
        <v>93</v>
      </c>
      <c r="H29" s="37">
        <v>0.1</v>
      </c>
      <c r="I29" s="37">
        <v>0</v>
      </c>
      <c r="J29" s="38">
        <v>24.2</v>
      </c>
      <c r="K29"/>
    </row>
    <row r="30" spans="1:11" s="41" customFormat="1" x14ac:dyDescent="0.25">
      <c r="A30" s="73"/>
      <c r="B30" s="13" t="s">
        <v>21</v>
      </c>
      <c r="C30" s="10" t="s">
        <v>48</v>
      </c>
      <c r="D30" s="10" t="s">
        <v>49</v>
      </c>
      <c r="E30" s="25">
        <v>50</v>
      </c>
      <c r="F30" s="12">
        <v>3.69</v>
      </c>
      <c r="G30" s="12">
        <f>318*0.5</f>
        <v>159</v>
      </c>
      <c r="H30" s="11">
        <f>7.28*0.5</f>
        <v>3.64</v>
      </c>
      <c r="I30" s="11">
        <f>12.52*0.5</f>
        <v>6.26</v>
      </c>
      <c r="J30" s="15">
        <f>43.92*0.5</f>
        <v>21.96</v>
      </c>
    </row>
    <row r="31" spans="1:11" s="41" customFormat="1" ht="15.75" thickBot="1" x14ac:dyDescent="0.3">
      <c r="A31" s="73"/>
      <c r="B31" s="76" t="s">
        <v>14</v>
      </c>
      <c r="C31" s="77" t="s">
        <v>32</v>
      </c>
      <c r="D31" s="77" t="s">
        <v>33</v>
      </c>
      <c r="E31" s="78">
        <v>47.5</v>
      </c>
      <c r="F31" s="79">
        <v>1.62</v>
      </c>
      <c r="G31" s="79">
        <f>229.7*0.475</f>
        <v>109.10749999999999</v>
      </c>
      <c r="H31" s="85">
        <f>6.7*0.475</f>
        <v>3.1825000000000001</v>
      </c>
      <c r="I31" s="85">
        <f>1.1*0.475</f>
        <v>0.52249999999999996</v>
      </c>
      <c r="J31" s="86">
        <f>48.3*0.475</f>
        <v>22.942499999999999</v>
      </c>
    </row>
    <row r="32" spans="1:11" s="41" customFormat="1" ht="16.5" thickBot="1" x14ac:dyDescent="0.3">
      <c r="A32" s="61" t="s">
        <v>15</v>
      </c>
      <c r="B32" s="64"/>
      <c r="C32" s="64"/>
      <c r="D32" s="64"/>
      <c r="E32" s="65"/>
      <c r="F32" s="32">
        <f>SUM(F25:F31)</f>
        <v>69.5</v>
      </c>
      <c r="G32" s="32">
        <f t="shared" ref="G32:J32" si="4">SUM(G25:G31)</f>
        <v>784.5575</v>
      </c>
      <c r="H32" s="32">
        <f t="shared" si="4"/>
        <v>32.057000000000002</v>
      </c>
      <c r="I32" s="32">
        <f t="shared" si="4"/>
        <v>21.707500000000003</v>
      </c>
      <c r="J32" s="87">
        <f t="shared" si="4"/>
        <v>114.86750000000001</v>
      </c>
      <c r="K32"/>
    </row>
    <row r="34" spans="1:10" ht="15.75" thickBot="1" x14ac:dyDescent="0.3">
      <c r="A34" s="57" t="s">
        <v>25</v>
      </c>
      <c r="B34" s="57"/>
      <c r="C34" s="57"/>
      <c r="D34" s="57"/>
      <c r="E34" s="57"/>
      <c r="F34" s="57"/>
      <c r="G34" s="57"/>
      <c r="H34" s="57"/>
      <c r="I34" s="57"/>
      <c r="J34" s="57"/>
    </row>
    <row r="35" spans="1:10" ht="15.75" x14ac:dyDescent="0.25">
      <c r="A35" s="33"/>
      <c r="B35" s="33"/>
      <c r="C35" s="56" t="s">
        <v>23</v>
      </c>
      <c r="D35" s="56"/>
      <c r="G35" s="58"/>
      <c r="H35" s="58"/>
      <c r="I35" s="58"/>
      <c r="J35" s="58"/>
    </row>
    <row r="36" spans="1:10" x14ac:dyDescent="0.25">
      <c r="A36" s="1"/>
      <c r="B36" s="1"/>
      <c r="C36" s="1"/>
      <c r="D36" s="1"/>
    </row>
    <row r="37" spans="1:10" x14ac:dyDescent="0.25">
      <c r="A37" s="44" t="s">
        <v>24</v>
      </c>
      <c r="B37" s="44"/>
    </row>
    <row r="38" spans="1:10" x14ac:dyDescent="0.25">
      <c r="A38" s="44" t="s">
        <v>26</v>
      </c>
      <c r="B38" s="44"/>
    </row>
  </sheetData>
  <mergeCells count="17">
    <mergeCell ref="B1:C1"/>
    <mergeCell ref="G1:J1"/>
    <mergeCell ref="A3:A9"/>
    <mergeCell ref="A10:E10"/>
    <mergeCell ref="A19:A23"/>
    <mergeCell ref="A37:B37"/>
    <mergeCell ref="A38:B38"/>
    <mergeCell ref="A11:A14"/>
    <mergeCell ref="A15:E15"/>
    <mergeCell ref="A16:A17"/>
    <mergeCell ref="A18:E18"/>
    <mergeCell ref="A34:J34"/>
    <mergeCell ref="C35:D35"/>
    <mergeCell ref="G35:J35"/>
    <mergeCell ref="A24:E24"/>
    <mergeCell ref="A25:A31"/>
    <mergeCell ref="A32:E3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22.09 1-4 кл</vt:lpstr>
      <vt:lpstr>22.09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2021-09-21T12:53:42Z</dcterms:modified>
</cp:coreProperties>
</file>