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1F9DF6C5-165F-4FDD-92D7-712E9999B553}" xr6:coauthVersionLast="47" xr6:coauthVersionMax="47" xr10:uidLastSave="{00000000-0000-0000-0000-000000000000}"/>
  <bookViews>
    <workbookView xWindow="2688" yWindow="2688" windowWidth="17280" windowHeight="8964" activeTab="1" xr2:uid="{00000000-000D-0000-FFFF-FFFF00000000}"/>
  </bookViews>
  <sheets>
    <sheet name="06.10 1-4 кл" sheetId="1" r:id="rId1"/>
    <sheet name="06.10 5-11 кл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" l="1"/>
  <c r="F21" i="2"/>
  <c r="J28" i="2"/>
  <c r="F28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I21" i="2" s="1"/>
  <c r="H16" i="2"/>
  <c r="H21" i="2" s="1"/>
  <c r="G16" i="2"/>
  <c r="G21" i="2" s="1"/>
  <c r="J27" i="2"/>
  <c r="I27" i="2"/>
  <c r="H27" i="2"/>
  <c r="G27" i="2"/>
  <c r="J26" i="2"/>
  <c r="I26" i="2"/>
  <c r="H26" i="2"/>
  <c r="G26" i="2"/>
  <c r="J24" i="2"/>
  <c r="I24" i="2"/>
  <c r="H24" i="2"/>
  <c r="G24" i="2"/>
  <c r="J23" i="2"/>
  <c r="I23" i="2"/>
  <c r="H23" i="2"/>
  <c r="G23" i="2"/>
  <c r="J22" i="2"/>
  <c r="I22" i="2"/>
  <c r="I28" i="2" s="1"/>
  <c r="H22" i="2"/>
  <c r="H28" i="2" s="1"/>
  <c r="G22" i="2"/>
  <c r="G28" i="2" s="1"/>
  <c r="J13" i="2"/>
  <c r="I13" i="2"/>
  <c r="H13" i="2"/>
  <c r="G13" i="2"/>
  <c r="J9" i="2"/>
  <c r="I9" i="2"/>
  <c r="H9" i="2"/>
  <c r="G9" i="2"/>
  <c r="J11" i="2"/>
  <c r="I11" i="2"/>
  <c r="H11" i="2"/>
  <c r="G11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J20" i="1"/>
  <c r="I20" i="1"/>
  <c r="H20" i="1"/>
  <c r="G20" i="1"/>
  <c r="J19" i="1"/>
  <c r="I19" i="1"/>
  <c r="H19" i="1"/>
  <c r="G19" i="1"/>
  <c r="J13" i="1"/>
  <c r="I13" i="1"/>
  <c r="H13" i="1"/>
  <c r="G13" i="1"/>
  <c r="J11" i="1"/>
  <c r="I11" i="1"/>
  <c r="H11" i="1"/>
  <c r="G11" i="1"/>
  <c r="J10" i="1"/>
  <c r="I10" i="1"/>
  <c r="H10" i="1"/>
  <c r="G10" i="1"/>
  <c r="J15" i="1"/>
  <c r="I15" i="1"/>
  <c r="H15" i="1"/>
  <c r="G15" i="1"/>
  <c r="J9" i="1"/>
  <c r="I9" i="1"/>
  <c r="H9" i="1"/>
  <c r="G9" i="1"/>
  <c r="J24" i="1"/>
  <c r="I24" i="1"/>
  <c r="H24" i="1"/>
  <c r="G24" i="1"/>
  <c r="J23" i="1"/>
  <c r="I23" i="1"/>
  <c r="H23" i="1"/>
  <c r="G23" i="1"/>
  <c r="J4" i="1" l="1"/>
  <c r="I4" i="1"/>
  <c r="H4" i="1"/>
  <c r="G4" i="1"/>
  <c r="J7" i="1"/>
  <c r="I7" i="1"/>
  <c r="H7" i="1"/>
  <c r="G7" i="1"/>
  <c r="J6" i="1"/>
  <c r="I6" i="1"/>
  <c r="H6" i="1"/>
  <c r="G6" i="1"/>
  <c r="J3" i="1"/>
  <c r="I3" i="1"/>
  <c r="H3" i="1"/>
  <c r="G3" i="1"/>
  <c r="G25" i="1" l="1"/>
  <c r="H25" i="1"/>
  <c r="I25" i="1"/>
  <c r="J25" i="1"/>
  <c r="F25" i="1"/>
  <c r="F21" i="1"/>
  <c r="F14" i="1"/>
  <c r="F8" i="1"/>
  <c r="G8" i="2"/>
  <c r="H8" i="2"/>
  <c r="I8" i="2"/>
  <c r="J8" i="2"/>
  <c r="F8" i="2"/>
  <c r="G12" i="2"/>
  <c r="H12" i="2"/>
  <c r="I12" i="2"/>
  <c r="J12" i="2"/>
  <c r="F12" i="2"/>
  <c r="G15" i="2"/>
  <c r="H15" i="2"/>
  <c r="I15" i="2"/>
  <c r="J15" i="2"/>
  <c r="F15" i="2"/>
  <c r="J17" i="1" l="1"/>
  <c r="I17" i="1"/>
  <c r="H17" i="1"/>
  <c r="G17" i="1"/>
  <c r="J14" i="1"/>
  <c r="I14" i="1"/>
  <c r="H14" i="1"/>
  <c r="G14" i="1"/>
  <c r="J16" i="1"/>
  <c r="J21" i="1" s="1"/>
  <c r="I16" i="1"/>
  <c r="I21" i="1" s="1"/>
  <c r="H16" i="1"/>
  <c r="H21" i="1" s="1"/>
  <c r="G16" i="1"/>
  <c r="G21" i="1" s="1"/>
  <c r="J5" i="1" l="1"/>
  <c r="J8" i="1" s="1"/>
  <c r="I5" i="1"/>
  <c r="I8" i="1" s="1"/>
  <c r="H5" i="1"/>
  <c r="H8" i="1" s="1"/>
  <c r="G5" i="1"/>
  <c r="G8" i="1" s="1"/>
</calcChain>
</file>

<file path=xl/sharedStrings.xml><?xml version="1.0" encoding="utf-8"?>
<sst xmlns="http://schemas.openxmlformats.org/spreadsheetml/2006/main" count="188" uniqueCount="76">
  <si>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</si>
  <si>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</si>
  <si>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</si>
  <si>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</si>
  <si>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</si>
  <si>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</si>
  <si>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</si>
  <si>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</si>
  <si>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</si>
  <si>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</si>
  <si>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</si>
  <si>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</si>
  <si>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</si>
  <si>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</si>
  <si>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</si>
  <si>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</si>
  <si>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</si>
  <si>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</si>
  <si>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</si>
  <si>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</si>
  <si>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</si>
  <si>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</si>
  <si>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</si>
  <si>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</si>
  <si>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</si>
  <si>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</si>
  <si>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</si>
  <si>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</si>
  <si>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</si>
  <si>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</si>
  <si>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</si>
  <si>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</si>
  <si>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</si>
  <si>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</si>
  <si>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</si>
  <si>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</si>
  <si>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</si>
  <si>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</si>
  <si>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</si>
  <si>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</si>
  <si>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</si>
  <si>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200</t>
  </si>
  <si>
    <t>Кондитерское изделие</t>
  </si>
  <si>
    <t>№71-2015г.</t>
  </si>
  <si>
    <t>№265-2015г.</t>
  </si>
  <si>
    <t>Плов из свинины</t>
  </si>
  <si>
    <t>Кисломолочный напиток</t>
  </si>
  <si>
    <t xml:space="preserve">Биойогурт "Славянский" </t>
  </si>
  <si>
    <t>Фрукт</t>
  </si>
  <si>
    <t>№338-2015г.</t>
  </si>
  <si>
    <t>Апельсин свежий (порционно)</t>
  </si>
  <si>
    <t>№111-2015г.</t>
  </si>
  <si>
    <t>Суп с макаронными изделиями с цыплёнком и зеленью</t>
  </si>
  <si>
    <t>Биточки рыбные "по-домашнему" из минтая</t>
  </si>
  <si>
    <t>ТТК №22</t>
  </si>
  <si>
    <t>Пюре картофельное</t>
  </si>
  <si>
    <t>№312-2015г.</t>
  </si>
  <si>
    <t>Напиток (сладкое блюдо)</t>
  </si>
  <si>
    <t>Компот из свежих яблок</t>
  </si>
  <si>
    <t>№342-2015г.</t>
  </si>
  <si>
    <t>№382-2015г.</t>
  </si>
  <si>
    <t>Какао с молоком</t>
  </si>
  <si>
    <t>Овощи натуральные свежие (огурцы)</t>
  </si>
  <si>
    <t>№422-2015г.</t>
  </si>
  <si>
    <t>Булочка ванильная</t>
  </si>
  <si>
    <t>40/100</t>
  </si>
  <si>
    <t>Печенье "Курабье"</t>
  </si>
  <si>
    <t>24</t>
  </si>
  <si>
    <t>250/10/2</t>
  </si>
  <si>
    <t>Булочка домашняя</t>
  </si>
  <si>
    <t>№424-2015г.</t>
  </si>
  <si>
    <t>Батон пшеничный</t>
  </si>
  <si>
    <t>22/88</t>
  </si>
  <si>
    <t>Бутерброд с повидлом</t>
  </si>
  <si>
    <t>15/20</t>
  </si>
  <si>
    <t>№2-2015г.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</si>
</sst>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2" fillId="0" borderId="3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vertical="center" wrapText="1"/>
    </xf>
    <xf numFmtId="4" fontId="1" fillId="0" borderId="38" xfId="0" applyNumberFormat="1" applyFont="1" applyBorder="1" applyAlignment="1">
      <alignment horizontal="right" vertical="center" wrapText="1"/>
    </xf>
    <xf numFmtId="4" fontId="1" fillId="0" borderId="39" xfId="0" applyNumberFormat="1" applyFont="1" applyBorder="1" applyAlignment="1">
      <alignment horizontal="right"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horizontal="right" vertical="center" wrapText="1"/>
    </xf>
    <xf numFmtId="2" fontId="1" fillId="0" borderId="42" xfId="0" applyNumberFormat="1" applyFont="1" applyBorder="1" applyAlignment="1">
      <alignment horizontal="right" vertical="center" wrapText="1"/>
    </xf>
    <xf numFmtId="2" fontId="1" fillId="0" borderId="42" xfId="0" applyNumberFormat="1" applyFont="1" applyBorder="1" applyAlignment="1">
      <alignment vertical="center" wrapText="1"/>
    </xf>
    <xf numFmtId="2" fontId="1" fillId="0" borderId="43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opLeftCell="A7" workbookViewId="0">
      <selection activeCell="B9" sqref="B9:J13"/>
    </sheetView>
  </sheetViews>
  <sheetFormatPr defaultColWidth="9.109375" defaultRowHeight="13.8" x14ac:dyDescent="0.25"/>
  <cols>
    <col min="1" max="1" width="24" style="3" customWidth="1"/>
    <col min="2" max="2" width="24.6640625" style="3" customWidth="1"/>
    <col min="3" max="3" width="12.33203125" style="3" customWidth="1"/>
    <col min="4" max="4" width="46.33203125" style="3" customWidth="1"/>
    <col min="5" max="5" width="10.109375" style="3" bestFit="1" customWidth="1"/>
    <col min="6" max="6" width="9.109375" style="3"/>
    <col min="7" max="7" width="18.109375" style="3" customWidth="1"/>
    <col min="8" max="8" width="11.44140625" style="3" bestFit="1" customWidth="1"/>
    <col min="9" max="9" width="9.109375" style="3"/>
    <col min="10" max="10" width="10.88671875" style="3" customWidth="1"/>
    <col min="11" max="16384" width="9.109375" style="3"/>
  </cols>
  <sheetData>
    <row r="1" spans="1:12" ht="14.4" thickBot="1" x14ac:dyDescent="0.3">
      <c r="A1" s="1" t="s">
        <v>0</v>
      </c>
      <c r="B1" s="75" t="s">
        <v>22</v>
      </c>
      <c r="C1" s="76"/>
      <c r="D1" s="1" t="s">
        <v>1</v>
      </c>
      <c r="E1" s="2"/>
      <c r="F1" s="1" t="s">
        <v>2</v>
      </c>
      <c r="G1" s="77">
        <v>44475</v>
      </c>
      <c r="H1" s="78"/>
      <c r="I1" s="78"/>
      <c r="J1" s="78"/>
      <c r="K1" s="1"/>
      <c r="L1" s="1"/>
    </row>
    <row r="2" spans="1:12" ht="1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14.4" thickTop="1" x14ac:dyDescent="0.25">
      <c r="A3" s="66" t="s">
        <v>27</v>
      </c>
      <c r="B3" s="18" t="s">
        <v>31</v>
      </c>
      <c r="C3" s="19" t="s">
        <v>43</v>
      </c>
      <c r="D3" s="19" t="s">
        <v>62</v>
      </c>
      <c r="E3" s="20">
        <v>15</v>
      </c>
      <c r="F3" s="20">
        <v>2.0499999999999998</v>
      </c>
      <c r="G3" s="21">
        <f>6/50*15</f>
        <v>1.7999999999999998</v>
      </c>
      <c r="H3" s="21">
        <f>0.35/50*15</f>
        <v>0.10499999999999998</v>
      </c>
      <c r="I3" s="21">
        <f>0.05/50*15</f>
        <v>1.4999999999999999E-2</v>
      </c>
      <c r="J3" s="22">
        <f>0.95/50*15</f>
        <v>0.28499999999999998</v>
      </c>
    </row>
    <row r="4" spans="1:12" ht="14.4" x14ac:dyDescent="0.3">
      <c r="A4" s="67"/>
      <c r="B4" s="12" t="s">
        <v>13</v>
      </c>
      <c r="C4" s="10" t="s">
        <v>44</v>
      </c>
      <c r="D4" s="10" t="s">
        <v>45</v>
      </c>
      <c r="E4" s="23" t="s">
        <v>65</v>
      </c>
      <c r="F4" s="11">
        <v>39.409999999999997</v>
      </c>
      <c r="G4" s="11">
        <f>408-31.4</f>
        <v>376.6</v>
      </c>
      <c r="H4" s="11">
        <f>12.62-1.96</f>
        <v>10.66</v>
      </c>
      <c r="I4" s="11">
        <f>28.17-2.62</f>
        <v>25.55</v>
      </c>
      <c r="J4" s="13">
        <f>25.89-0</f>
        <v>25.89</v>
      </c>
      <c r="K4"/>
    </row>
    <row r="5" spans="1:12" ht="14.4" x14ac:dyDescent="0.3">
      <c r="A5" s="67"/>
      <c r="B5" s="12" t="s">
        <v>46</v>
      </c>
      <c r="C5" s="10" t="s">
        <v>40</v>
      </c>
      <c r="D5" s="10" t="s">
        <v>47</v>
      </c>
      <c r="E5" s="23">
        <v>150</v>
      </c>
      <c r="F5" s="11">
        <v>23.59</v>
      </c>
      <c r="G5" s="11">
        <f>96*1.5</f>
        <v>144</v>
      </c>
      <c r="H5" s="11">
        <f>3.5*1.5</f>
        <v>5.25</v>
      </c>
      <c r="I5" s="11">
        <f>2.5*1.5</f>
        <v>3.75</v>
      </c>
      <c r="J5" s="13">
        <f>15*1.5</f>
        <v>22.5</v>
      </c>
      <c r="K5"/>
    </row>
    <row r="6" spans="1:12" ht="14.4" x14ac:dyDescent="0.3">
      <c r="A6" s="67"/>
      <c r="B6" s="12" t="s">
        <v>21</v>
      </c>
      <c r="C6" s="10" t="s">
        <v>63</v>
      </c>
      <c r="D6" s="10" t="s">
        <v>64</v>
      </c>
      <c r="E6" s="23">
        <v>50</v>
      </c>
      <c r="F6" s="11">
        <v>3.61</v>
      </c>
      <c r="G6" s="41">
        <f>283*0.5</f>
        <v>141.5</v>
      </c>
      <c r="H6" s="41">
        <f>7.9*0.5</f>
        <v>3.95</v>
      </c>
      <c r="I6" s="41">
        <f>8.12*0.5</f>
        <v>4.0599999999999996</v>
      </c>
      <c r="J6" s="41">
        <f>44.48*0.5</f>
        <v>22.24</v>
      </c>
      <c r="K6"/>
    </row>
    <row r="7" spans="1:12" ht="15" thickBot="1" x14ac:dyDescent="0.35">
      <c r="A7" s="68"/>
      <c r="B7" s="14" t="s">
        <v>14</v>
      </c>
      <c r="C7" s="15" t="s">
        <v>32</v>
      </c>
      <c r="D7" s="15" t="s">
        <v>33</v>
      </c>
      <c r="E7" s="24">
        <v>28</v>
      </c>
      <c r="F7" s="25">
        <v>0.84</v>
      </c>
      <c r="G7" s="25">
        <f>229.7*0.28</f>
        <v>64.316000000000003</v>
      </c>
      <c r="H7" s="16">
        <f>6.7*0.28</f>
        <v>1.8760000000000003</v>
      </c>
      <c r="I7" s="16">
        <f>1.1*0.28</f>
        <v>0.30800000000000005</v>
      </c>
      <c r="J7" s="17">
        <f>48.3*0.28</f>
        <v>13.524000000000001</v>
      </c>
      <c r="K7"/>
    </row>
    <row r="8" spans="1:12" ht="16.2" thickBot="1" x14ac:dyDescent="0.3">
      <c r="A8" s="71" t="s">
        <v>15</v>
      </c>
      <c r="B8" s="82"/>
      <c r="C8" s="82"/>
      <c r="D8" s="82"/>
      <c r="E8" s="83"/>
      <c r="F8" s="26">
        <f>SUM(F3:F7)</f>
        <v>69.5</v>
      </c>
      <c r="G8" s="26">
        <f t="shared" ref="G8:J8" si="0">SUM(G3:G7)</f>
        <v>728.21600000000012</v>
      </c>
      <c r="H8" s="26">
        <f t="shared" si="0"/>
        <v>21.841000000000001</v>
      </c>
      <c r="I8" s="26">
        <f t="shared" si="0"/>
        <v>33.683</v>
      </c>
      <c r="J8" s="26">
        <f t="shared" si="0"/>
        <v>84.438999999999993</v>
      </c>
    </row>
    <row r="9" spans="1:12" ht="27.6" x14ac:dyDescent="0.3">
      <c r="A9" s="69" t="s">
        <v>28</v>
      </c>
      <c r="B9" s="27" t="s">
        <v>16</v>
      </c>
      <c r="C9" s="28" t="s">
        <v>51</v>
      </c>
      <c r="D9" s="28" t="s">
        <v>52</v>
      </c>
      <c r="E9" s="20" t="s">
        <v>68</v>
      </c>
      <c r="F9" s="21">
        <v>12.99</v>
      </c>
      <c r="G9" s="21">
        <f>468*0.25+211*0.1</f>
        <v>138.1</v>
      </c>
      <c r="H9" s="21">
        <f>9.54*0.25+21.1*0.1</f>
        <v>4.4950000000000001</v>
      </c>
      <c r="I9" s="21">
        <f>20.31*0.25+13.6*0.1</f>
        <v>6.4375</v>
      </c>
      <c r="J9" s="22">
        <f>51.98*0.25+0</f>
        <v>12.994999999999999</v>
      </c>
      <c r="K9"/>
    </row>
    <row r="10" spans="1:12" ht="14.4" x14ac:dyDescent="0.3">
      <c r="A10" s="70"/>
      <c r="B10" s="12" t="s">
        <v>13</v>
      </c>
      <c r="C10" s="61" t="s">
        <v>54</v>
      </c>
      <c r="D10" s="61" t="s">
        <v>53</v>
      </c>
      <c r="E10" s="23">
        <v>40</v>
      </c>
      <c r="F10" s="11">
        <v>15.72</v>
      </c>
      <c r="G10" s="41">
        <f>132.2/75*40</f>
        <v>70.506666666666661</v>
      </c>
      <c r="H10" s="41">
        <f>9.5/75*40</f>
        <v>5.0666666666666673</v>
      </c>
      <c r="I10" s="41">
        <f>5.6/75*40</f>
        <v>2.9866666666666664</v>
      </c>
      <c r="J10" s="47">
        <f>10.9/75*40</f>
        <v>5.8133333333333335</v>
      </c>
      <c r="K10"/>
    </row>
    <row r="11" spans="1:12" ht="14.4" x14ac:dyDescent="0.3">
      <c r="A11" s="70"/>
      <c r="B11" s="12" t="s">
        <v>17</v>
      </c>
      <c r="C11" s="61" t="s">
        <v>56</v>
      </c>
      <c r="D11" s="63" t="s">
        <v>55</v>
      </c>
      <c r="E11" s="23">
        <v>100</v>
      </c>
      <c r="F11" s="11">
        <v>11.62</v>
      </c>
      <c r="G11" s="39">
        <f>915*0.1</f>
        <v>91.5</v>
      </c>
      <c r="H11" s="39">
        <f>20.43*0.1</f>
        <v>2.0430000000000001</v>
      </c>
      <c r="I11" s="39">
        <f>32.01*0.1</f>
        <v>3.2010000000000001</v>
      </c>
      <c r="J11" s="40">
        <f>136.26*0.1</f>
        <v>13.625999999999999</v>
      </c>
      <c r="K11"/>
    </row>
    <row r="12" spans="1:12" ht="14.4" x14ac:dyDescent="0.3">
      <c r="A12" s="70"/>
      <c r="B12" s="12" t="s">
        <v>18</v>
      </c>
      <c r="C12" s="10" t="s">
        <v>19</v>
      </c>
      <c r="D12" s="10" t="s">
        <v>20</v>
      </c>
      <c r="E12" s="23" t="s">
        <v>34</v>
      </c>
      <c r="F12" s="11">
        <v>2.62</v>
      </c>
      <c r="G12" s="11">
        <v>60</v>
      </c>
      <c r="H12" s="11">
        <v>7.0000000000000007E-2</v>
      </c>
      <c r="I12" s="11">
        <v>0.02</v>
      </c>
      <c r="J12" s="13">
        <v>15</v>
      </c>
      <c r="K12"/>
    </row>
    <row r="13" spans="1:12" ht="14.4" thickBot="1" x14ac:dyDescent="0.3">
      <c r="A13" s="70"/>
      <c r="B13" s="14" t="s">
        <v>14</v>
      </c>
      <c r="C13" s="15" t="s">
        <v>32</v>
      </c>
      <c r="D13" s="15" t="s">
        <v>33</v>
      </c>
      <c r="E13" s="24">
        <v>58.5</v>
      </c>
      <c r="F13" s="25">
        <v>2.0499999999999998</v>
      </c>
      <c r="G13" s="25">
        <f>229.7*0.585</f>
        <v>134.37449999999998</v>
      </c>
      <c r="H13" s="16">
        <f>6.7*0.585</f>
        <v>3.9194999999999998</v>
      </c>
      <c r="I13" s="16">
        <f>1.1*0.585</f>
        <v>0.64349999999999996</v>
      </c>
      <c r="J13" s="17">
        <f>48.3*0.585</f>
        <v>28.255499999999998</v>
      </c>
    </row>
    <row r="14" spans="1:12" ht="16.2" thickBot="1" x14ac:dyDescent="0.3">
      <c r="A14" s="84" t="s">
        <v>15</v>
      </c>
      <c r="B14" s="82"/>
      <c r="C14" s="82"/>
      <c r="D14" s="82"/>
      <c r="E14" s="83"/>
      <c r="F14" s="26">
        <f>SUM(F9:F13)</f>
        <v>44.999999999999993</v>
      </c>
      <c r="G14" s="26">
        <f t="shared" ref="G14:J14" si="1">SUM(G9:G13)</f>
        <v>494.4811666666667</v>
      </c>
      <c r="H14" s="26">
        <f t="shared" si="1"/>
        <v>15.594166666666666</v>
      </c>
      <c r="I14" s="26">
        <f t="shared" si="1"/>
        <v>13.288666666666666</v>
      </c>
      <c r="J14" s="26">
        <f t="shared" si="1"/>
        <v>75.689833333333326</v>
      </c>
    </row>
    <row r="15" spans="1:12" s="64" customFormat="1" ht="27.6" x14ac:dyDescent="0.25">
      <c r="A15" s="74" t="s">
        <v>29</v>
      </c>
      <c r="B15" s="27" t="s">
        <v>16</v>
      </c>
      <c r="C15" s="28" t="s">
        <v>51</v>
      </c>
      <c r="D15" s="28" t="s">
        <v>52</v>
      </c>
      <c r="E15" s="20" t="s">
        <v>68</v>
      </c>
      <c r="F15" s="21">
        <v>12.99</v>
      </c>
      <c r="G15" s="21">
        <f>468*0.25+211*0.1</f>
        <v>138.1</v>
      </c>
      <c r="H15" s="21">
        <f>9.54*0.25+21.1*0.1</f>
        <v>4.4950000000000001</v>
      </c>
      <c r="I15" s="21">
        <f>20.31*0.25+13.6*0.1</f>
        <v>6.4375</v>
      </c>
      <c r="J15" s="22">
        <f>51.98*0.25+0</f>
        <v>12.994999999999999</v>
      </c>
    </row>
    <row r="16" spans="1:12" s="36" customFormat="1" ht="14.4" x14ac:dyDescent="0.3">
      <c r="A16" s="67"/>
      <c r="B16" s="12" t="s">
        <v>13</v>
      </c>
      <c r="C16" s="61" t="s">
        <v>54</v>
      </c>
      <c r="D16" s="60" t="s">
        <v>53</v>
      </c>
      <c r="E16" s="23">
        <v>65</v>
      </c>
      <c r="F16" s="11">
        <v>25.54</v>
      </c>
      <c r="G16" s="41">
        <f>132.2/75*65</f>
        <v>114.57333333333332</v>
      </c>
      <c r="H16" s="41">
        <f>9.5/75*65</f>
        <v>8.2333333333333343</v>
      </c>
      <c r="I16" s="41">
        <f>5.6/75*65</f>
        <v>4.8533333333333326</v>
      </c>
      <c r="J16" s="47">
        <f>10.9/75*65</f>
        <v>9.4466666666666672</v>
      </c>
      <c r="K16"/>
    </row>
    <row r="17" spans="1:11" s="36" customFormat="1" ht="14.4" x14ac:dyDescent="0.3">
      <c r="A17" s="67"/>
      <c r="B17" s="12" t="s">
        <v>17</v>
      </c>
      <c r="C17" s="61" t="s">
        <v>56</v>
      </c>
      <c r="D17" s="63" t="s">
        <v>55</v>
      </c>
      <c r="E17" s="23">
        <v>150</v>
      </c>
      <c r="F17" s="11">
        <v>17.43</v>
      </c>
      <c r="G17" s="39">
        <f>915*0.15</f>
        <v>137.25</v>
      </c>
      <c r="H17" s="39">
        <f>20.43*0.15</f>
        <v>3.0644999999999998</v>
      </c>
      <c r="I17" s="39">
        <f>32.01*0.15</f>
        <v>4.8014999999999999</v>
      </c>
      <c r="J17" s="40">
        <f>136.26*0.15</f>
        <v>20.438999999999997</v>
      </c>
      <c r="K17"/>
    </row>
    <row r="18" spans="1:11" ht="15.6" x14ac:dyDescent="0.3">
      <c r="A18" s="67"/>
      <c r="B18" s="12" t="s">
        <v>57</v>
      </c>
      <c r="C18" s="61" t="s">
        <v>59</v>
      </c>
      <c r="D18" s="62" t="s">
        <v>58</v>
      </c>
      <c r="E18" s="23">
        <v>200</v>
      </c>
      <c r="F18" s="11">
        <v>6.85</v>
      </c>
      <c r="G18" s="11">
        <v>114.6</v>
      </c>
      <c r="H18" s="37">
        <v>0.16</v>
      </c>
      <c r="I18" s="37">
        <v>0.16</v>
      </c>
      <c r="J18" s="38">
        <v>27.88</v>
      </c>
      <c r="K18"/>
    </row>
    <row r="19" spans="1:11" s="64" customFormat="1" ht="14.4" x14ac:dyDescent="0.3">
      <c r="A19" s="67"/>
      <c r="B19" s="12" t="s">
        <v>21</v>
      </c>
      <c r="C19" s="10" t="s">
        <v>70</v>
      </c>
      <c r="D19" s="10" t="s">
        <v>69</v>
      </c>
      <c r="E19" s="23">
        <v>50</v>
      </c>
      <c r="F19" s="11">
        <v>3.8</v>
      </c>
      <c r="G19" s="41">
        <f>318*0.5</f>
        <v>159</v>
      </c>
      <c r="H19" s="41">
        <f>7.28*0.5</f>
        <v>3.64</v>
      </c>
      <c r="I19" s="41">
        <f>12.52*0.5</f>
        <v>6.26</v>
      </c>
      <c r="J19" s="41">
        <f>43.92*0.5</f>
        <v>21.96</v>
      </c>
      <c r="K19"/>
    </row>
    <row r="20" spans="1:11" ht="15" thickBot="1" x14ac:dyDescent="0.35">
      <c r="A20" s="68"/>
      <c r="B20" s="54" t="s">
        <v>14</v>
      </c>
      <c r="C20" s="55" t="s">
        <v>40</v>
      </c>
      <c r="D20" s="55" t="s">
        <v>71</v>
      </c>
      <c r="E20" s="56">
        <v>24</v>
      </c>
      <c r="F20" s="57">
        <v>2.89</v>
      </c>
      <c r="G20" s="57">
        <f>280*0.24</f>
        <v>67.2</v>
      </c>
      <c r="H20" s="58">
        <f>8*0.24</f>
        <v>1.92</v>
      </c>
      <c r="I20" s="58">
        <f>3*0.24</f>
        <v>0.72</v>
      </c>
      <c r="J20" s="59">
        <f>54*0.24</f>
        <v>12.959999999999999</v>
      </c>
      <c r="K20"/>
    </row>
    <row r="21" spans="1:11" ht="16.2" thickBot="1" x14ac:dyDescent="0.35">
      <c r="A21" s="71" t="s">
        <v>15</v>
      </c>
      <c r="B21" s="82"/>
      <c r="C21" s="82"/>
      <c r="D21" s="82"/>
      <c r="E21" s="83"/>
      <c r="F21" s="26">
        <f>SUM(F15:F20)</f>
        <v>69.5</v>
      </c>
      <c r="G21" s="26">
        <f>SUM(G15:G20)</f>
        <v>730.72333333333336</v>
      </c>
      <c r="H21" s="26">
        <f>SUM(H15:H20)</f>
        <v>21.512833333333333</v>
      </c>
      <c r="I21" s="26">
        <f>SUM(I15:I20)</f>
        <v>23.23233333333333</v>
      </c>
      <c r="J21" s="26">
        <f>SUM(J15:J20)</f>
        <v>105.68066666666665</v>
      </c>
      <c r="K21"/>
    </row>
    <row r="22" spans="1:11" ht="14.4" x14ac:dyDescent="0.3">
      <c r="A22" s="69" t="s">
        <v>30</v>
      </c>
      <c r="B22" s="27" t="s">
        <v>18</v>
      </c>
      <c r="C22" s="28" t="s">
        <v>60</v>
      </c>
      <c r="D22" s="28" t="s">
        <v>61</v>
      </c>
      <c r="E22" s="31" t="s">
        <v>41</v>
      </c>
      <c r="F22" s="32">
        <v>13.05</v>
      </c>
      <c r="G22" s="34">
        <v>136</v>
      </c>
      <c r="H22" s="21">
        <v>3.64</v>
      </c>
      <c r="I22" s="21">
        <v>3.35</v>
      </c>
      <c r="J22" s="22">
        <v>22.82</v>
      </c>
      <c r="K22"/>
    </row>
    <row r="23" spans="1:11" s="36" customFormat="1" ht="14.4" x14ac:dyDescent="0.3">
      <c r="A23" s="70"/>
      <c r="B23" s="48" t="s">
        <v>42</v>
      </c>
      <c r="C23" s="49" t="s">
        <v>40</v>
      </c>
      <c r="D23" s="49" t="s">
        <v>66</v>
      </c>
      <c r="E23" s="50" t="s">
        <v>67</v>
      </c>
      <c r="F23" s="51">
        <v>4.7</v>
      </c>
      <c r="G23" s="52">
        <f>450*0.24</f>
        <v>108</v>
      </c>
      <c r="H23" s="52">
        <f>7.5*0.24</f>
        <v>1.7999999999999998</v>
      </c>
      <c r="I23" s="52">
        <f>16*0.24</f>
        <v>3.84</v>
      </c>
      <c r="J23" s="53">
        <f>66*0.24</f>
        <v>15.84</v>
      </c>
      <c r="K23"/>
    </row>
    <row r="24" spans="1:11" s="36" customFormat="1" ht="14.4" thickBot="1" x14ac:dyDescent="0.3">
      <c r="A24" s="70"/>
      <c r="B24" s="14" t="s">
        <v>48</v>
      </c>
      <c r="C24" s="15" t="s">
        <v>49</v>
      </c>
      <c r="D24" s="15" t="s">
        <v>50</v>
      </c>
      <c r="E24" s="24">
        <v>142</v>
      </c>
      <c r="F24" s="25">
        <v>27.25</v>
      </c>
      <c r="G24" s="25">
        <f>43*1.42</f>
        <v>61.059999999999995</v>
      </c>
      <c r="H24" s="25">
        <f>0.9*1.42</f>
        <v>1.278</v>
      </c>
      <c r="I24" s="25">
        <f>0.2*1.42</f>
        <v>0.28399999999999997</v>
      </c>
      <c r="J24" s="29">
        <f>8.1*1.42</f>
        <v>11.501999999999999</v>
      </c>
    </row>
    <row r="25" spans="1:11" ht="16.2" thickBot="1" x14ac:dyDescent="0.35">
      <c r="A25" s="71" t="s">
        <v>15</v>
      </c>
      <c r="B25" s="72"/>
      <c r="C25" s="72"/>
      <c r="D25" s="72"/>
      <c r="E25" s="73"/>
      <c r="F25" s="5">
        <f>SUM(F22:F24)</f>
        <v>45</v>
      </c>
      <c r="G25" s="5">
        <f t="shared" ref="G25:J25" si="2">SUM(G22:G24)</f>
        <v>305.06</v>
      </c>
      <c r="H25" s="5">
        <f t="shared" si="2"/>
        <v>6.718</v>
      </c>
      <c r="I25" s="5">
        <f t="shared" si="2"/>
        <v>7.4739999999999993</v>
      </c>
      <c r="J25" s="5">
        <f t="shared" si="2"/>
        <v>50.161999999999992</v>
      </c>
      <c r="K25"/>
    </row>
    <row r="27" spans="1:11" ht="14.4" thickBot="1" x14ac:dyDescent="0.3">
      <c r="A27" s="80" t="s">
        <v>25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1" ht="15.6" x14ac:dyDescent="0.25">
      <c r="A28" s="33"/>
      <c r="B28" s="33"/>
      <c r="C28" s="79" t="s">
        <v>23</v>
      </c>
      <c r="D28" s="79"/>
      <c r="G28" s="81"/>
      <c r="H28" s="81"/>
      <c r="I28" s="81"/>
      <c r="J28" s="81"/>
    </row>
    <row r="29" spans="1:11" x14ac:dyDescent="0.25">
      <c r="A29" s="1"/>
      <c r="B29" s="1"/>
      <c r="C29" s="1"/>
      <c r="D29" s="1"/>
    </row>
    <row r="30" spans="1:11" ht="14.4" x14ac:dyDescent="0.25">
      <c r="A30" s="65" t="s">
        <v>24</v>
      </c>
      <c r="B30" s="65"/>
    </row>
    <row r="31" spans="1:11" ht="14.4" x14ac:dyDescent="0.25">
      <c r="A31" s="65" t="s">
        <v>26</v>
      </c>
      <c r="B31" s="65"/>
    </row>
    <row r="32" spans="1:11" ht="14.4" x14ac:dyDescent="0.25">
      <c r="A32" s="6"/>
    </row>
    <row r="36" customFormat="1" ht="14.4" x14ac:dyDescent="0.3"/>
    <row r="37" customFormat="1" ht="14.4" x14ac:dyDescent="0.3"/>
    <row r="38" customFormat="1" ht="14.4" x14ac:dyDescent="0.3"/>
    <row r="39" customFormat="1" ht="14.4" x14ac:dyDescent="0.3"/>
  </sheetData>
  <mergeCells count="15">
    <mergeCell ref="B1:C1"/>
    <mergeCell ref="G1:J1"/>
    <mergeCell ref="C28:D28"/>
    <mergeCell ref="A27:J27"/>
    <mergeCell ref="G28:J28"/>
    <mergeCell ref="A8:E8"/>
    <mergeCell ref="A9:A13"/>
    <mergeCell ref="A14:E14"/>
    <mergeCell ref="A21:E21"/>
    <mergeCell ref="A30:B30"/>
    <mergeCell ref="A31:B31"/>
    <mergeCell ref="A3:A7"/>
    <mergeCell ref="A22:A24"/>
    <mergeCell ref="A25:E25"/>
    <mergeCell ref="A15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tabSelected="1" topLeftCell="A7" workbookViewId="0">
      <selection activeCell="F21" sqref="F21"/>
    </sheetView>
  </sheetViews>
  <sheetFormatPr defaultColWidth="9.109375" defaultRowHeight="13.8" x14ac:dyDescent="0.25"/>
  <cols>
    <col min="1" max="1" width="33.44140625" style="3" customWidth="1"/>
    <col min="2" max="2" width="24.6640625" style="3" customWidth="1"/>
    <col min="3" max="3" width="12.33203125" style="3" customWidth="1"/>
    <col min="4" max="4" width="46.33203125" style="3" customWidth="1"/>
    <col min="5" max="5" width="10.109375" style="3" bestFit="1" customWidth="1"/>
    <col min="6" max="6" width="9.109375" style="3"/>
    <col min="7" max="7" width="18.109375" style="3" customWidth="1"/>
    <col min="8" max="8" width="11.44140625" style="3" bestFit="1" customWidth="1"/>
    <col min="9" max="9" width="9.109375" style="3"/>
    <col min="10" max="10" width="10.88671875" style="3" customWidth="1"/>
    <col min="11" max="16384" width="9.109375" style="3"/>
  </cols>
  <sheetData>
    <row r="1" spans="1:12" ht="14.4" thickBot="1" x14ac:dyDescent="0.3">
      <c r="A1" s="1" t="s">
        <v>0</v>
      </c>
      <c r="B1" s="88" t="s">
        <v>22</v>
      </c>
      <c r="C1" s="89"/>
      <c r="D1" s="1" t="s">
        <v>1</v>
      </c>
      <c r="E1" s="43"/>
      <c r="F1" s="1" t="s">
        <v>2</v>
      </c>
      <c r="G1" s="90">
        <v>44475</v>
      </c>
      <c r="H1" s="91"/>
      <c r="I1" s="91"/>
      <c r="J1" s="91"/>
      <c r="K1" s="1"/>
      <c r="L1" s="1"/>
    </row>
    <row r="2" spans="1:12" ht="15" thickTop="1" thickBot="1" x14ac:dyDescent="0.3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45" t="s">
        <v>9</v>
      </c>
      <c r="H2" s="45" t="s">
        <v>10</v>
      </c>
      <c r="I2" s="45" t="s">
        <v>11</v>
      </c>
      <c r="J2" s="46" t="s">
        <v>12</v>
      </c>
    </row>
    <row r="3" spans="1:12" ht="14.4" thickTop="1" x14ac:dyDescent="0.25">
      <c r="A3" s="66" t="s">
        <v>35</v>
      </c>
      <c r="B3" s="18" t="s">
        <v>31</v>
      </c>
      <c r="C3" s="19" t="s">
        <v>43</v>
      </c>
      <c r="D3" s="19" t="s">
        <v>62</v>
      </c>
      <c r="E3" s="20">
        <v>15</v>
      </c>
      <c r="F3" s="20">
        <v>2.0499999999999998</v>
      </c>
      <c r="G3" s="21">
        <f>6/50*15</f>
        <v>1.7999999999999998</v>
      </c>
      <c r="H3" s="21">
        <f>0.35/50*15</f>
        <v>0.10499999999999998</v>
      </c>
      <c r="I3" s="21">
        <f>0.05/50*15</f>
        <v>1.4999999999999999E-2</v>
      </c>
      <c r="J3" s="22">
        <f>0.95/50*15</f>
        <v>0.28499999999999998</v>
      </c>
    </row>
    <row r="4" spans="1:12" x14ac:dyDescent="0.25">
      <c r="A4" s="67"/>
      <c r="B4" s="12" t="s">
        <v>13</v>
      </c>
      <c r="C4" s="10" t="s">
        <v>44</v>
      </c>
      <c r="D4" s="10" t="s">
        <v>45</v>
      </c>
      <c r="E4" s="23" t="s">
        <v>65</v>
      </c>
      <c r="F4" s="11">
        <v>39.409999999999997</v>
      </c>
      <c r="G4" s="11">
        <f>408-31.4</f>
        <v>376.6</v>
      </c>
      <c r="H4" s="11">
        <f>12.62-1.96</f>
        <v>10.66</v>
      </c>
      <c r="I4" s="11">
        <f>28.17-2.62</f>
        <v>25.55</v>
      </c>
      <c r="J4" s="13">
        <f>25.89-0</f>
        <v>25.89</v>
      </c>
    </row>
    <row r="5" spans="1:12" s="64" customFormat="1" x14ac:dyDescent="0.25">
      <c r="A5" s="67"/>
      <c r="B5" s="12" t="s">
        <v>46</v>
      </c>
      <c r="C5" s="10" t="s">
        <v>40</v>
      </c>
      <c r="D5" s="10" t="s">
        <v>47</v>
      </c>
      <c r="E5" s="23">
        <v>150</v>
      </c>
      <c r="F5" s="11">
        <v>23.59</v>
      </c>
      <c r="G5" s="11">
        <f>96*1.5</f>
        <v>144</v>
      </c>
      <c r="H5" s="11">
        <f>3.5*1.5</f>
        <v>5.25</v>
      </c>
      <c r="I5" s="11">
        <f>2.5*1.5</f>
        <v>3.75</v>
      </c>
      <c r="J5" s="13">
        <f>15*1.5</f>
        <v>22.5</v>
      </c>
    </row>
    <row r="6" spans="1:12" s="36" customFormat="1" x14ac:dyDescent="0.25">
      <c r="A6" s="67"/>
      <c r="B6" s="12" t="s">
        <v>21</v>
      </c>
      <c r="C6" s="10" t="s">
        <v>63</v>
      </c>
      <c r="D6" s="10" t="s">
        <v>64</v>
      </c>
      <c r="E6" s="23">
        <v>50</v>
      </c>
      <c r="F6" s="11">
        <v>3.61</v>
      </c>
      <c r="G6" s="41">
        <f>283*0.5</f>
        <v>141.5</v>
      </c>
      <c r="H6" s="41">
        <f>7.9*0.5</f>
        <v>3.95</v>
      </c>
      <c r="I6" s="41">
        <f>8.12*0.5</f>
        <v>4.0599999999999996</v>
      </c>
      <c r="J6" s="41">
        <f>44.48*0.5</f>
        <v>22.24</v>
      </c>
    </row>
    <row r="7" spans="1:12" ht="14.4" thickBot="1" x14ac:dyDescent="0.3">
      <c r="A7" s="68"/>
      <c r="B7" s="14" t="s">
        <v>14</v>
      </c>
      <c r="C7" s="15" t="s">
        <v>32</v>
      </c>
      <c r="D7" s="15" t="s">
        <v>33</v>
      </c>
      <c r="E7" s="24">
        <v>28</v>
      </c>
      <c r="F7" s="25">
        <v>0.84</v>
      </c>
      <c r="G7" s="25">
        <f>229.7*0.28</f>
        <v>64.316000000000003</v>
      </c>
      <c r="H7" s="16">
        <f>6.7*0.28</f>
        <v>1.8760000000000003</v>
      </c>
      <c r="I7" s="16">
        <f>1.1*0.28</f>
        <v>0.30800000000000005</v>
      </c>
      <c r="J7" s="17">
        <f>48.3*0.28</f>
        <v>13.524000000000001</v>
      </c>
    </row>
    <row r="8" spans="1:12" ht="16.2" thickBot="1" x14ac:dyDescent="0.3">
      <c r="A8" s="71" t="s">
        <v>15</v>
      </c>
      <c r="B8" s="82"/>
      <c r="C8" s="82"/>
      <c r="D8" s="82"/>
      <c r="E8" s="83"/>
      <c r="F8" s="26">
        <f>SUM(F3:F7)</f>
        <v>69.5</v>
      </c>
      <c r="G8" s="26">
        <f t="shared" ref="G8:J8" si="0">SUM(G3:G7)</f>
        <v>728.21600000000012</v>
      </c>
      <c r="H8" s="26">
        <f t="shared" si="0"/>
        <v>21.841000000000001</v>
      </c>
      <c r="I8" s="26">
        <f t="shared" si="0"/>
        <v>33.683</v>
      </c>
      <c r="J8" s="26">
        <f t="shared" si="0"/>
        <v>84.438999999999993</v>
      </c>
    </row>
    <row r="9" spans="1:12" s="64" customFormat="1" ht="14.4" thickTop="1" x14ac:dyDescent="0.25">
      <c r="A9" s="66" t="s">
        <v>36</v>
      </c>
      <c r="B9" s="27" t="s">
        <v>13</v>
      </c>
      <c r="C9" s="28" t="s">
        <v>44</v>
      </c>
      <c r="D9" s="28" t="s">
        <v>45</v>
      </c>
      <c r="E9" s="20" t="s">
        <v>72</v>
      </c>
      <c r="F9" s="21">
        <v>21.68</v>
      </c>
      <c r="G9" s="21">
        <f>408/150*110</f>
        <v>299.20000000000005</v>
      </c>
      <c r="H9" s="21">
        <f>12.62/150*110</f>
        <v>9.2546666666666653</v>
      </c>
      <c r="I9" s="21">
        <f>28.17/150*110</f>
        <v>20.658000000000001</v>
      </c>
      <c r="J9" s="22">
        <f>25.89/150*110</f>
        <v>18.986000000000001</v>
      </c>
    </row>
    <row r="10" spans="1:12" s="64" customFormat="1" x14ac:dyDescent="0.25">
      <c r="A10" s="67"/>
      <c r="B10" s="12" t="s">
        <v>18</v>
      </c>
      <c r="C10" s="10" t="s">
        <v>19</v>
      </c>
      <c r="D10" s="10" t="s">
        <v>20</v>
      </c>
      <c r="E10" s="23" t="s">
        <v>34</v>
      </c>
      <c r="F10" s="11">
        <v>2.62</v>
      </c>
      <c r="G10" s="11">
        <v>60</v>
      </c>
      <c r="H10" s="11">
        <v>7.0000000000000007E-2</v>
      </c>
      <c r="I10" s="11">
        <v>0.02</v>
      </c>
      <c r="J10" s="13">
        <v>15</v>
      </c>
    </row>
    <row r="11" spans="1:12" s="64" customFormat="1" ht="15" thickBot="1" x14ac:dyDescent="0.35">
      <c r="A11" s="67"/>
      <c r="B11" s="14" t="s">
        <v>14</v>
      </c>
      <c r="C11" s="15" t="s">
        <v>40</v>
      </c>
      <c r="D11" s="15" t="s">
        <v>71</v>
      </c>
      <c r="E11" s="24">
        <v>22.5</v>
      </c>
      <c r="F11" s="25">
        <v>2.7</v>
      </c>
      <c r="G11" s="25">
        <f>280*0.225</f>
        <v>63</v>
      </c>
      <c r="H11" s="16">
        <f>8*0.225</f>
        <v>1.8</v>
      </c>
      <c r="I11" s="16">
        <f>3*0.225</f>
        <v>0.67500000000000004</v>
      </c>
      <c r="J11" s="17">
        <f>54*0.225</f>
        <v>12.15</v>
      </c>
      <c r="K11"/>
    </row>
    <row r="12" spans="1:12" ht="16.2" thickBot="1" x14ac:dyDescent="0.3">
      <c r="A12" s="71" t="s">
        <v>15</v>
      </c>
      <c r="B12" s="82"/>
      <c r="C12" s="82"/>
      <c r="D12" s="82"/>
      <c r="E12" s="83"/>
      <c r="F12" s="26">
        <f>SUM(F9:F11)</f>
        <v>27</v>
      </c>
      <c r="G12" s="26">
        <f t="shared" ref="G12:J12" si="1">SUM(G9:G11)</f>
        <v>422.20000000000005</v>
      </c>
      <c r="H12" s="26">
        <f t="shared" si="1"/>
        <v>11.124666666666666</v>
      </c>
      <c r="I12" s="26">
        <f t="shared" si="1"/>
        <v>21.353000000000002</v>
      </c>
      <c r="J12" s="26">
        <f t="shared" si="1"/>
        <v>46.136000000000003</v>
      </c>
    </row>
    <row r="13" spans="1:12" ht="14.4" thickTop="1" x14ac:dyDescent="0.25">
      <c r="A13" s="66" t="s">
        <v>38</v>
      </c>
      <c r="B13" s="18" t="s">
        <v>31</v>
      </c>
      <c r="C13" s="19" t="s">
        <v>75</v>
      </c>
      <c r="D13" s="19" t="s">
        <v>73</v>
      </c>
      <c r="E13" s="31" t="s">
        <v>74</v>
      </c>
      <c r="F13" s="20">
        <v>4.38</v>
      </c>
      <c r="G13" s="34">
        <f>250*0.15+280*0.2</f>
        <v>93.5</v>
      </c>
      <c r="H13" s="34">
        <f>0.4*0.15+8*0.2</f>
        <v>1.6600000000000001</v>
      </c>
      <c r="I13" s="34">
        <f>0+3*0.2</f>
        <v>0.60000000000000009</v>
      </c>
      <c r="J13" s="35">
        <f>65*0.15+54*0.2</f>
        <v>20.55</v>
      </c>
    </row>
    <row r="14" spans="1:12" ht="14.4" thickBot="1" x14ac:dyDescent="0.3">
      <c r="A14" s="67"/>
      <c r="B14" s="14" t="s">
        <v>18</v>
      </c>
      <c r="C14" s="15" t="s">
        <v>19</v>
      </c>
      <c r="D14" s="15" t="s">
        <v>20</v>
      </c>
      <c r="E14" s="24" t="s">
        <v>34</v>
      </c>
      <c r="F14" s="25">
        <v>2.62</v>
      </c>
      <c r="G14" s="25">
        <v>60</v>
      </c>
      <c r="H14" s="25">
        <v>7.0000000000000007E-2</v>
      </c>
      <c r="I14" s="25">
        <v>0.02</v>
      </c>
      <c r="J14" s="29">
        <v>15</v>
      </c>
    </row>
    <row r="15" spans="1:12" ht="16.2" thickBot="1" x14ac:dyDescent="0.3">
      <c r="A15" s="71" t="s">
        <v>15</v>
      </c>
      <c r="B15" s="82"/>
      <c r="C15" s="82"/>
      <c r="D15" s="82"/>
      <c r="E15" s="83"/>
      <c r="F15" s="26">
        <f>SUM(F13:F14)</f>
        <v>7</v>
      </c>
      <c r="G15" s="26">
        <f t="shared" ref="G15:J15" si="2">SUM(G13:G14)</f>
        <v>153.5</v>
      </c>
      <c r="H15" s="26">
        <f t="shared" si="2"/>
        <v>1.7300000000000002</v>
      </c>
      <c r="I15" s="26">
        <f t="shared" si="2"/>
        <v>0.62000000000000011</v>
      </c>
      <c r="J15" s="26">
        <f t="shared" si="2"/>
        <v>35.549999999999997</v>
      </c>
    </row>
    <row r="16" spans="1:12" ht="27.6" x14ac:dyDescent="0.25">
      <c r="A16" s="69" t="s">
        <v>37</v>
      </c>
      <c r="B16" s="27" t="s">
        <v>16</v>
      </c>
      <c r="C16" s="28" t="s">
        <v>51</v>
      </c>
      <c r="D16" s="28" t="s">
        <v>52</v>
      </c>
      <c r="E16" s="20" t="s">
        <v>68</v>
      </c>
      <c r="F16" s="21">
        <v>12.99</v>
      </c>
      <c r="G16" s="21">
        <f>468*0.25+211*0.1</f>
        <v>138.1</v>
      </c>
      <c r="H16" s="21">
        <f>9.54*0.25+21.1*0.1</f>
        <v>4.4950000000000001</v>
      </c>
      <c r="I16" s="21">
        <f>20.31*0.25+13.6*0.1</f>
        <v>6.4375</v>
      </c>
      <c r="J16" s="22">
        <f>51.98*0.25+0</f>
        <v>12.994999999999999</v>
      </c>
    </row>
    <row r="17" spans="1:10" x14ac:dyDescent="0.25">
      <c r="A17" s="70"/>
      <c r="B17" s="12" t="s">
        <v>13</v>
      </c>
      <c r="C17" s="61" t="s">
        <v>54</v>
      </c>
      <c r="D17" s="61" t="s">
        <v>53</v>
      </c>
      <c r="E17" s="23">
        <v>40</v>
      </c>
      <c r="F17" s="11">
        <v>15.72</v>
      </c>
      <c r="G17" s="41">
        <f>132.2/75*40</f>
        <v>70.506666666666661</v>
      </c>
      <c r="H17" s="41">
        <f>9.5/75*40</f>
        <v>5.0666666666666673</v>
      </c>
      <c r="I17" s="41">
        <f>5.6/75*40</f>
        <v>2.9866666666666664</v>
      </c>
      <c r="J17" s="47">
        <f>10.9/75*40</f>
        <v>5.8133333333333335</v>
      </c>
    </row>
    <row r="18" spans="1:10" x14ac:dyDescent="0.25">
      <c r="A18" s="70"/>
      <c r="B18" s="12" t="s">
        <v>17</v>
      </c>
      <c r="C18" s="61" t="s">
        <v>56</v>
      </c>
      <c r="D18" s="63" t="s">
        <v>55</v>
      </c>
      <c r="E18" s="23">
        <v>100</v>
      </c>
      <c r="F18" s="11">
        <v>11.62</v>
      </c>
      <c r="G18" s="39">
        <f>915*0.1</f>
        <v>91.5</v>
      </c>
      <c r="H18" s="39">
        <f>20.43*0.1</f>
        <v>2.0430000000000001</v>
      </c>
      <c r="I18" s="39">
        <f>32.01*0.1</f>
        <v>3.2010000000000001</v>
      </c>
      <c r="J18" s="40">
        <f>136.26*0.1</f>
        <v>13.625999999999999</v>
      </c>
    </row>
    <row r="19" spans="1:10" x14ac:dyDescent="0.25">
      <c r="A19" s="70"/>
      <c r="B19" s="12" t="s">
        <v>18</v>
      </c>
      <c r="C19" s="10" t="s">
        <v>19</v>
      </c>
      <c r="D19" s="10" t="s">
        <v>20</v>
      </c>
      <c r="E19" s="23" t="s">
        <v>34</v>
      </c>
      <c r="F19" s="11">
        <v>2.62</v>
      </c>
      <c r="G19" s="11">
        <v>60</v>
      </c>
      <c r="H19" s="11">
        <v>7.0000000000000007E-2</v>
      </c>
      <c r="I19" s="11">
        <v>0.02</v>
      </c>
      <c r="J19" s="13">
        <v>15</v>
      </c>
    </row>
    <row r="20" spans="1:10" ht="14.4" thickBot="1" x14ac:dyDescent="0.3">
      <c r="A20" s="70"/>
      <c r="B20" s="14" t="s">
        <v>14</v>
      </c>
      <c r="C20" s="15" t="s">
        <v>32</v>
      </c>
      <c r="D20" s="15" t="s">
        <v>33</v>
      </c>
      <c r="E20" s="24">
        <v>58.5</v>
      </c>
      <c r="F20" s="25">
        <v>2.0499999999999998</v>
      </c>
      <c r="G20" s="25">
        <f>229.7*0.585</f>
        <v>134.37449999999998</v>
      </c>
      <c r="H20" s="16">
        <f>6.7*0.585</f>
        <v>3.9194999999999998</v>
      </c>
      <c r="I20" s="16">
        <f>1.1*0.585</f>
        <v>0.64349999999999996</v>
      </c>
      <c r="J20" s="17">
        <f>48.3*0.585</f>
        <v>28.255499999999998</v>
      </c>
    </row>
    <row r="21" spans="1:10" ht="16.2" thickBot="1" x14ac:dyDescent="0.3">
      <c r="A21" s="84" t="s">
        <v>15</v>
      </c>
      <c r="B21" s="86"/>
      <c r="C21" s="86"/>
      <c r="D21" s="86"/>
      <c r="E21" s="87"/>
      <c r="F21" s="30">
        <f>SUM(F16:F20)</f>
        <v>44.999999999999993</v>
      </c>
      <c r="G21" s="30">
        <f t="shared" ref="G21:J21" si="3">SUM(G16:G20)</f>
        <v>494.4811666666667</v>
      </c>
      <c r="H21" s="30">
        <f t="shared" si="3"/>
        <v>15.594166666666666</v>
      </c>
      <c r="I21" s="30">
        <f t="shared" si="3"/>
        <v>13.288666666666666</v>
      </c>
      <c r="J21" s="30">
        <f t="shared" si="3"/>
        <v>75.689833333333326</v>
      </c>
    </row>
    <row r="22" spans="1:10" ht="27.6" x14ac:dyDescent="0.25">
      <c r="A22" s="85" t="s">
        <v>39</v>
      </c>
      <c r="B22" s="27" t="s">
        <v>16</v>
      </c>
      <c r="C22" s="28" t="s">
        <v>51</v>
      </c>
      <c r="D22" s="28" t="s">
        <v>52</v>
      </c>
      <c r="E22" s="20" t="s">
        <v>68</v>
      </c>
      <c r="F22" s="21">
        <v>12.99</v>
      </c>
      <c r="G22" s="21">
        <f>468*0.25+211*0.1</f>
        <v>138.1</v>
      </c>
      <c r="H22" s="21">
        <f>9.54*0.25+21.1*0.1</f>
        <v>4.4950000000000001</v>
      </c>
      <c r="I22" s="21">
        <f>20.31*0.25+13.6*0.1</f>
        <v>6.4375</v>
      </c>
      <c r="J22" s="22">
        <f>51.98*0.25+0</f>
        <v>12.994999999999999</v>
      </c>
    </row>
    <row r="23" spans="1:10" x14ac:dyDescent="0.25">
      <c r="A23" s="85"/>
      <c r="B23" s="12" t="s">
        <v>13</v>
      </c>
      <c r="C23" s="61" t="s">
        <v>54</v>
      </c>
      <c r="D23" s="60" t="s">
        <v>53</v>
      </c>
      <c r="E23" s="23">
        <v>65</v>
      </c>
      <c r="F23" s="11">
        <v>25.54</v>
      </c>
      <c r="G23" s="41">
        <f>132.2/75*65</f>
        <v>114.57333333333332</v>
      </c>
      <c r="H23" s="41">
        <f>9.5/75*65</f>
        <v>8.2333333333333343</v>
      </c>
      <c r="I23" s="41">
        <f>5.6/75*65</f>
        <v>4.8533333333333326</v>
      </c>
      <c r="J23" s="47">
        <f>10.9/75*65</f>
        <v>9.4466666666666672</v>
      </c>
    </row>
    <row r="24" spans="1:10" x14ac:dyDescent="0.25">
      <c r="A24" s="85"/>
      <c r="B24" s="12" t="s">
        <v>17</v>
      </c>
      <c r="C24" s="61" t="s">
        <v>56</v>
      </c>
      <c r="D24" s="63" t="s">
        <v>55</v>
      </c>
      <c r="E24" s="23">
        <v>150</v>
      </c>
      <c r="F24" s="11">
        <v>17.43</v>
      </c>
      <c r="G24" s="39">
        <f>915*0.15</f>
        <v>137.25</v>
      </c>
      <c r="H24" s="39">
        <f>20.43*0.15</f>
        <v>3.0644999999999998</v>
      </c>
      <c r="I24" s="39">
        <f>32.01*0.15</f>
        <v>4.8014999999999999</v>
      </c>
      <c r="J24" s="40">
        <f>136.26*0.15</f>
        <v>20.438999999999997</v>
      </c>
    </row>
    <row r="25" spans="1:10" ht="15.6" x14ac:dyDescent="0.25">
      <c r="A25" s="85"/>
      <c r="B25" s="12" t="s">
        <v>57</v>
      </c>
      <c r="C25" s="61" t="s">
        <v>59</v>
      </c>
      <c r="D25" s="62" t="s">
        <v>58</v>
      </c>
      <c r="E25" s="23">
        <v>200</v>
      </c>
      <c r="F25" s="11">
        <v>6.85</v>
      </c>
      <c r="G25" s="11">
        <v>114.6</v>
      </c>
      <c r="H25" s="37">
        <v>0.16</v>
      </c>
      <c r="I25" s="37">
        <v>0.16</v>
      </c>
      <c r="J25" s="38">
        <v>27.88</v>
      </c>
    </row>
    <row r="26" spans="1:10" x14ac:dyDescent="0.25">
      <c r="A26" s="85"/>
      <c r="B26" s="12" t="s">
        <v>21</v>
      </c>
      <c r="C26" s="10" t="s">
        <v>70</v>
      </c>
      <c r="D26" s="10" t="s">
        <v>69</v>
      </c>
      <c r="E26" s="23">
        <v>50</v>
      </c>
      <c r="F26" s="11">
        <v>3.8</v>
      </c>
      <c r="G26" s="41">
        <f>318*0.5</f>
        <v>159</v>
      </c>
      <c r="H26" s="41">
        <f>7.28*0.5</f>
        <v>3.64</v>
      </c>
      <c r="I26" s="41">
        <f>12.52*0.5</f>
        <v>6.26</v>
      </c>
      <c r="J26" s="41">
        <f>43.92*0.5</f>
        <v>21.96</v>
      </c>
    </row>
    <row r="27" spans="1:10" ht="14.4" thickBot="1" x14ac:dyDescent="0.3">
      <c r="A27" s="85"/>
      <c r="B27" s="54" t="s">
        <v>14</v>
      </c>
      <c r="C27" s="55" t="s">
        <v>40</v>
      </c>
      <c r="D27" s="55" t="s">
        <v>71</v>
      </c>
      <c r="E27" s="56">
        <v>24</v>
      </c>
      <c r="F27" s="57">
        <v>2.89</v>
      </c>
      <c r="G27" s="57">
        <f>280*0.24</f>
        <v>67.2</v>
      </c>
      <c r="H27" s="58">
        <f>8*0.24</f>
        <v>1.92</v>
      </c>
      <c r="I27" s="58">
        <f>3*0.24</f>
        <v>0.72</v>
      </c>
      <c r="J27" s="59">
        <f>54*0.24</f>
        <v>12.959999999999999</v>
      </c>
    </row>
    <row r="28" spans="1:10" ht="16.2" thickBot="1" x14ac:dyDescent="0.3">
      <c r="A28" s="84" t="s">
        <v>15</v>
      </c>
      <c r="B28" s="86"/>
      <c r="C28" s="86"/>
      <c r="D28" s="86"/>
      <c r="E28" s="87"/>
      <c r="F28" s="30">
        <f>SUM(F22:F27)</f>
        <v>69.5</v>
      </c>
      <c r="G28" s="30">
        <f t="shared" ref="G28:J28" si="4">SUM(G22:G27)</f>
        <v>730.72333333333336</v>
      </c>
      <c r="H28" s="30">
        <f t="shared" si="4"/>
        <v>21.512833333333333</v>
      </c>
      <c r="I28" s="30">
        <f t="shared" si="4"/>
        <v>23.23233333333333</v>
      </c>
      <c r="J28" s="30">
        <f t="shared" si="4"/>
        <v>105.68066666666665</v>
      </c>
    </row>
    <row r="30" spans="1:10" ht="14.4" thickBot="1" x14ac:dyDescent="0.3">
      <c r="A30" s="80" t="s">
        <v>25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5.6" x14ac:dyDescent="0.25">
      <c r="A31" s="33"/>
      <c r="B31" s="33"/>
      <c r="C31" s="79" t="s">
        <v>23</v>
      </c>
      <c r="D31" s="79"/>
      <c r="G31" s="81"/>
      <c r="H31" s="81"/>
      <c r="I31" s="81"/>
      <c r="J31" s="81"/>
    </row>
    <row r="32" spans="1:10" x14ac:dyDescent="0.25">
      <c r="A32" s="1"/>
      <c r="B32" s="1"/>
      <c r="C32" s="1"/>
      <c r="D32" s="1"/>
    </row>
    <row r="33" spans="1:2" ht="14.4" x14ac:dyDescent="0.25">
      <c r="A33" s="65" t="s">
        <v>24</v>
      </c>
      <c r="B33" s="65"/>
    </row>
    <row r="34" spans="1:2" ht="14.4" x14ac:dyDescent="0.25">
      <c r="A34" s="65" t="s">
        <v>26</v>
      </c>
      <c r="B34" s="65"/>
    </row>
    <row r="35" spans="1:2" ht="14.4" x14ac:dyDescent="0.25">
      <c r="A35" s="6"/>
    </row>
  </sheetData>
  <mergeCells count="17">
    <mergeCell ref="A9:A11"/>
    <mergeCell ref="A12:E12"/>
    <mergeCell ref="B1:C1"/>
    <mergeCell ref="G1:J1"/>
    <mergeCell ref="A3:A7"/>
    <mergeCell ref="A8:E8"/>
    <mergeCell ref="A33:B33"/>
    <mergeCell ref="A34:B34"/>
    <mergeCell ref="A13:A14"/>
    <mergeCell ref="A15:E15"/>
    <mergeCell ref="A22:A27"/>
    <mergeCell ref="A28:E28"/>
    <mergeCell ref="A30:J30"/>
    <mergeCell ref="C31:D31"/>
    <mergeCell ref="G31:J31"/>
    <mergeCell ref="A21:E21"/>
    <mergeCell ref="A16:A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06.10 1-4 кл</vt:lpstr>
      <vt:lpstr>06.10 5-11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2021-10-10T06:55:50Z</dcterms:modified>
</cp:coreProperties>
</file>