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2.10 1-4 кл" sheetId="1" r:id="rId1"/>
    <sheet name="12.10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I29" i="2"/>
  <c r="H29" i="2"/>
  <c r="G29" i="2"/>
  <c r="J28" i="2"/>
  <c r="I28" i="2"/>
  <c r="H28" i="2"/>
  <c r="G28" i="2"/>
  <c r="J26" i="2"/>
  <c r="I26" i="2"/>
  <c r="H26" i="2"/>
  <c r="G26" i="2"/>
  <c r="J25" i="2"/>
  <c r="I25" i="2"/>
  <c r="H25" i="2"/>
  <c r="G25" i="2"/>
  <c r="J24" i="2"/>
  <c r="I24" i="2"/>
  <c r="H24" i="2"/>
  <c r="G24" i="2"/>
  <c r="J22" i="2"/>
  <c r="I22" i="2"/>
  <c r="H22" i="2"/>
  <c r="G22" i="2"/>
  <c r="J20" i="2"/>
  <c r="I20" i="2"/>
  <c r="H20" i="2"/>
  <c r="G20" i="2"/>
  <c r="J19" i="2"/>
  <c r="I19" i="2"/>
  <c r="H19" i="2"/>
  <c r="G19" i="2"/>
  <c r="J18" i="2"/>
  <c r="I18" i="2"/>
  <c r="H18" i="2"/>
  <c r="G18" i="2"/>
  <c r="J15" i="2"/>
  <c r="I15" i="2"/>
  <c r="G15" i="2"/>
  <c r="H15" i="2"/>
  <c r="J13" i="2"/>
  <c r="I13" i="2"/>
  <c r="H13" i="2"/>
  <c r="G13" i="2"/>
  <c r="G14" i="2" s="1"/>
  <c r="H14" i="2"/>
  <c r="I14" i="2"/>
  <c r="J14" i="2"/>
  <c r="F14" i="2"/>
  <c r="J11" i="2"/>
  <c r="I11" i="2"/>
  <c r="H11" i="2"/>
  <c r="G11" i="2"/>
  <c r="J10" i="2"/>
  <c r="I10" i="2"/>
  <c r="H10" i="2"/>
  <c r="G10" i="2"/>
  <c r="J8" i="2"/>
  <c r="I8" i="2"/>
  <c r="H8" i="2"/>
  <c r="G8" i="2"/>
  <c r="J7" i="2"/>
  <c r="I7" i="2"/>
  <c r="H7" i="2"/>
  <c r="G7" i="2"/>
  <c r="J5" i="2"/>
  <c r="I5" i="2"/>
  <c r="H5" i="2"/>
  <c r="G5" i="2"/>
  <c r="J4" i="2"/>
  <c r="I4" i="2"/>
  <c r="H4" i="2"/>
  <c r="G4" i="2"/>
  <c r="J3" i="2"/>
  <c r="I3" i="2"/>
  <c r="H3" i="2"/>
  <c r="G3" i="2"/>
  <c r="J24" i="1"/>
  <c r="I24" i="1"/>
  <c r="H24" i="1"/>
  <c r="J23" i="1"/>
  <c r="I23" i="1"/>
  <c r="H23" i="1"/>
  <c r="G23" i="1"/>
  <c r="J21" i="1"/>
  <c r="I21" i="1"/>
  <c r="H21" i="1"/>
  <c r="G21" i="1"/>
  <c r="G22" i="1"/>
  <c r="F22" i="1"/>
  <c r="J20" i="1"/>
  <c r="I20" i="1"/>
  <c r="H20" i="1"/>
  <c r="G20" i="1"/>
  <c r="J18" i="1"/>
  <c r="I18" i="1"/>
  <c r="H18" i="1"/>
  <c r="G18" i="1"/>
  <c r="J17" i="1"/>
  <c r="I17" i="1"/>
  <c r="H17" i="1"/>
  <c r="G17" i="1"/>
  <c r="J16" i="1"/>
  <c r="J22" i="1" s="1"/>
  <c r="I16" i="1"/>
  <c r="I22" i="1" s="1"/>
  <c r="H16" i="1"/>
  <c r="G16" i="1"/>
  <c r="J14" i="1"/>
  <c r="I14" i="1"/>
  <c r="H14" i="1"/>
  <c r="G14" i="1"/>
  <c r="J12" i="1"/>
  <c r="I12" i="1"/>
  <c r="H12" i="1"/>
  <c r="G12" i="1"/>
  <c r="J11" i="1"/>
  <c r="I11" i="1"/>
  <c r="H11" i="1"/>
  <c r="G11" i="1"/>
  <c r="J10" i="1"/>
  <c r="I10" i="1"/>
  <c r="H10" i="1"/>
  <c r="G10" i="1"/>
  <c r="F9" i="1"/>
  <c r="J8" i="1"/>
  <c r="I8" i="1"/>
  <c r="H8" i="1"/>
  <c r="G8" i="1"/>
  <c r="J7" i="1"/>
  <c r="I7" i="1"/>
  <c r="H7" i="1"/>
  <c r="G7" i="1"/>
  <c r="J5" i="1"/>
  <c r="I5" i="1"/>
  <c r="H5" i="1"/>
  <c r="G5" i="1"/>
  <c r="J4" i="1"/>
  <c r="I4" i="1"/>
  <c r="H4" i="1"/>
  <c r="G4" i="1"/>
  <c r="J3" i="1"/>
  <c r="J9" i="1" s="1"/>
  <c r="I3" i="1"/>
  <c r="I9" i="1" s="1"/>
  <c r="H3" i="1"/>
  <c r="H9" i="1" s="1"/>
  <c r="G3" i="1"/>
  <c r="G9" i="1" s="1"/>
  <c r="H22" i="1" l="1"/>
  <c r="G15" i="1" l="1"/>
  <c r="H15" i="1"/>
  <c r="I15" i="1"/>
  <c r="J15" i="1"/>
  <c r="F15" i="1"/>
  <c r="F30" i="2" l="1"/>
  <c r="J30" i="2"/>
  <c r="I30" i="2"/>
  <c r="H30" i="2"/>
  <c r="G30" i="2"/>
  <c r="F17" i="2"/>
  <c r="H17" i="2"/>
  <c r="J9" i="2"/>
  <c r="F9" i="2"/>
  <c r="H9" i="2"/>
  <c r="I9" i="2"/>
  <c r="G9" i="2"/>
  <c r="J25" i="1"/>
  <c r="F25" i="1"/>
  <c r="I25" i="1"/>
  <c r="H25" i="1"/>
  <c r="G24" i="1"/>
  <c r="G25" i="1" s="1"/>
  <c r="J17" i="2" l="1"/>
  <c r="G17" i="2"/>
  <c r="I17" i="2"/>
  <c r="F23" i="2" l="1"/>
  <c r="J23" i="2" l="1"/>
  <c r="I23" i="2"/>
  <c r="H23" i="2"/>
  <c r="G23" i="2"/>
</calcChain>
</file>

<file path=xl/sharedStrings.xml><?xml version="1.0" encoding="utf-8"?>
<sst xmlns="http://schemas.openxmlformats.org/spreadsheetml/2006/main" count="193" uniqueCount="73">
  <si>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</si>
  <si>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</si>
  <si>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</si>
  <si>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</si>
  <si>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</si>
  <si>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</si>
  <si>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</si>
  <si>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</si>
  <si>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</si>
  <si>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</si>
  <si>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</si>
  <si>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</si>
  <si>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</si>
  <si>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</si>
  <si>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</si>
  <si>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</si>
  <si>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</si>
  <si>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</si>
  <si>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</si>
  <si>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</si>
  <si>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</si>
  <si>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</si>
  <si>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</si>
  <si>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</si>
  <si>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</si>
  <si>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</si>
  <si>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</si>
  <si>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</si>
  <si>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</si>
  <si>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</si>
  <si>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</si>
  <si>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</si>
  <si>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</si>
  <si>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</si>
  <si>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</si>
  <si>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</si>
  <si>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</si>
  <si>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>Завтрак бюджетный 1-я смена и полдник для детей-инвалидов 2-я смена 5-11 кл</t>
  </si>
  <si>
    <t>Напиток</t>
  </si>
  <si>
    <t>ТТК №89</t>
  </si>
  <si>
    <t>Напиток ягодный (из компотной смеси)</t>
  </si>
  <si>
    <t>ПР</t>
  </si>
  <si>
    <t>Кондитерское изделие</t>
  </si>
  <si>
    <t>Фрукт</t>
  </si>
  <si>
    <t>№338-2015г.</t>
  </si>
  <si>
    <t xml:space="preserve">Обед дети-инвалиды 5-11 кл 1 смена </t>
  </si>
  <si>
    <t>Обед 6-7 кл. 2-я смена</t>
  </si>
  <si>
    <t>Батон пшеничный</t>
  </si>
  <si>
    <t>250/10/2</t>
  </si>
  <si>
    <t>№268-2015г.</t>
  </si>
  <si>
    <t>Котлета из свинины</t>
  </si>
  <si>
    <t>№45-2015г.</t>
  </si>
  <si>
    <t>Салат из белокочанной капусты с морковью</t>
  </si>
  <si>
    <t>ТТК №16</t>
  </si>
  <si>
    <t>Филе минтая запечённое</t>
  </si>
  <si>
    <t>№312-2015г.</t>
  </si>
  <si>
    <t>Пюре картофельное</t>
  </si>
  <si>
    <t>№424-2015г.</t>
  </si>
  <si>
    <t>Булочка домашняя</t>
  </si>
  <si>
    <t>№101-2015г.</t>
  </si>
  <si>
    <t>Суп картофельный с рисом с тушёнкой и зеленью</t>
  </si>
  <si>
    <t>№302-2015г.</t>
  </si>
  <si>
    <t>Каша рассыпчатая гречневая</t>
  </si>
  <si>
    <t>Яблоко свежее (порциями)</t>
  </si>
  <si>
    <t>Кисломолочные продукты</t>
  </si>
  <si>
    <t>№386-2015г.</t>
  </si>
  <si>
    <t>Йогурт питьевой</t>
  </si>
  <si>
    <t>150</t>
  </si>
  <si>
    <t>Пряник шоколадный</t>
  </si>
  <si>
    <t>116,5</t>
  </si>
  <si>
    <t>№2-2015г.</t>
  </si>
  <si>
    <t>Бутерброд с повидлом</t>
  </si>
  <si>
    <t>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</si>
</sst>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2" fontId="1" fillId="0" borderId="20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0" borderId="23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2" fontId="1" fillId="0" borderId="22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2" fontId="2" fillId="0" borderId="30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 wrapText="1"/>
    </xf>
    <xf numFmtId="2" fontId="5" fillId="0" borderId="20" xfId="0" applyNumberFormat="1" applyFont="1" applyBorder="1" applyAlignment="1">
      <alignment horizontal="right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right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2" fontId="2" fillId="0" borderId="38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2" fontId="1" fillId="0" borderId="23" xfId="0" applyNumberFormat="1" applyFont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49" fontId="1" fillId="0" borderId="22" xfId="0" applyNumberFormat="1" applyFont="1" applyBorder="1" applyAlignment="1">
      <alignment horizontal="righ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7" workbookViewId="0">
      <selection activeCell="B16" sqref="B16:J21"/>
    </sheetView>
  </sheetViews>
  <sheetFormatPr defaultRowHeight="15" x14ac:dyDescent="0.25"/>
  <cols>
    <col min="1" max="1" width="20.140625" style="3" customWidth="1"/>
    <col min="2" max="2" width="25.5703125" style="3" customWidth="1"/>
    <col min="3" max="3" width="12.28515625" style="3" customWidth="1"/>
    <col min="4" max="4" width="48.710937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52" t="s">
        <v>22</v>
      </c>
      <c r="C1" s="53"/>
      <c r="D1" s="1" t="s">
        <v>1</v>
      </c>
      <c r="E1" s="2"/>
      <c r="F1" s="1" t="s">
        <v>2</v>
      </c>
      <c r="G1" s="54">
        <v>44481</v>
      </c>
      <c r="H1" s="55"/>
      <c r="I1" s="55"/>
      <c r="J1" s="55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ht="14.25" customHeight="1" thickTop="1" x14ac:dyDescent="0.25">
      <c r="A3" s="69" t="s">
        <v>27</v>
      </c>
      <c r="B3" s="20" t="s">
        <v>31</v>
      </c>
      <c r="C3" s="21" t="s">
        <v>51</v>
      </c>
      <c r="D3" s="21" t="s">
        <v>52</v>
      </c>
      <c r="E3" s="22">
        <v>60</v>
      </c>
      <c r="F3" s="22">
        <v>4.6399999999999997</v>
      </c>
      <c r="G3" s="23">
        <f>604*0.06</f>
        <v>36.24</v>
      </c>
      <c r="H3" s="23">
        <f>13.12*0.06</f>
        <v>0.7871999999999999</v>
      </c>
      <c r="I3" s="23">
        <f>32.49*0.06</f>
        <v>1.9494</v>
      </c>
      <c r="J3" s="24">
        <f>64.66*0.06</f>
        <v>3.8795999999999995</v>
      </c>
    </row>
    <row r="4" spans="1:12" s="50" customFormat="1" x14ac:dyDescent="0.25">
      <c r="A4" s="70"/>
      <c r="B4" s="13" t="s">
        <v>13</v>
      </c>
      <c r="C4" s="10" t="s">
        <v>53</v>
      </c>
      <c r="D4" s="10" t="s">
        <v>54</v>
      </c>
      <c r="E4" s="25">
        <v>55</v>
      </c>
      <c r="F4" s="12">
        <v>33.25</v>
      </c>
      <c r="G4" s="37">
        <f>71/50*55</f>
        <v>78.099999999999994</v>
      </c>
      <c r="H4" s="37">
        <f>8.8/50*55</f>
        <v>9.6800000000000015</v>
      </c>
      <c r="I4" s="37">
        <f>3.1/50*55</f>
        <v>3.41</v>
      </c>
      <c r="J4" s="38">
        <f>1.9/50*55</f>
        <v>2.09</v>
      </c>
      <c r="K4"/>
    </row>
    <row r="5" spans="1:12" s="49" customFormat="1" x14ac:dyDescent="0.25">
      <c r="A5" s="70"/>
      <c r="B5" s="13" t="s">
        <v>17</v>
      </c>
      <c r="C5" s="10" t="s">
        <v>55</v>
      </c>
      <c r="D5" s="10" t="s">
        <v>56</v>
      </c>
      <c r="E5" s="25">
        <v>150</v>
      </c>
      <c r="F5" s="12">
        <v>17.14</v>
      </c>
      <c r="G5" s="37">
        <f>915*0.15</f>
        <v>137.25</v>
      </c>
      <c r="H5" s="37">
        <f>20.43*0.15</f>
        <v>3.0644999999999998</v>
      </c>
      <c r="I5" s="37">
        <f>32.01*0.15</f>
        <v>4.8014999999999999</v>
      </c>
      <c r="J5" s="38">
        <f>136.26*0.15</f>
        <v>20.438999999999997</v>
      </c>
      <c r="K5"/>
    </row>
    <row r="6" spans="1:12" x14ac:dyDescent="0.25">
      <c r="A6" s="70"/>
      <c r="B6" s="13" t="s">
        <v>38</v>
      </c>
      <c r="C6" s="10" t="s">
        <v>39</v>
      </c>
      <c r="D6" s="10" t="s">
        <v>40</v>
      </c>
      <c r="E6" s="25">
        <v>200</v>
      </c>
      <c r="F6" s="12">
        <v>8.74</v>
      </c>
      <c r="G6" s="12">
        <v>111</v>
      </c>
      <c r="H6" s="37">
        <v>0.7</v>
      </c>
      <c r="I6" s="37">
        <v>0</v>
      </c>
      <c r="J6" s="38">
        <v>27</v>
      </c>
    </row>
    <row r="7" spans="1:12" x14ac:dyDescent="0.25">
      <c r="A7" s="70"/>
      <c r="B7" s="13" t="s">
        <v>21</v>
      </c>
      <c r="C7" s="10" t="s">
        <v>57</v>
      </c>
      <c r="D7" s="10" t="s">
        <v>58</v>
      </c>
      <c r="E7" s="25">
        <v>50</v>
      </c>
      <c r="F7" s="12">
        <v>4.07</v>
      </c>
      <c r="G7" s="12">
        <f>318*0.5</f>
        <v>159</v>
      </c>
      <c r="H7" s="11">
        <f>7.28*0.5</f>
        <v>3.64</v>
      </c>
      <c r="I7" s="11">
        <f>12.52*0.5</f>
        <v>6.26</v>
      </c>
      <c r="J7" s="15">
        <f>43.92*0.5</f>
        <v>21.96</v>
      </c>
    </row>
    <row r="8" spans="1:12" ht="15.75" thickBot="1" x14ac:dyDescent="0.3">
      <c r="A8" s="71"/>
      <c r="B8" s="16" t="s">
        <v>14</v>
      </c>
      <c r="C8" s="17" t="s">
        <v>32</v>
      </c>
      <c r="D8" s="17" t="s">
        <v>33</v>
      </c>
      <c r="E8" s="26">
        <v>40.5</v>
      </c>
      <c r="F8" s="27">
        <v>1.66</v>
      </c>
      <c r="G8" s="27">
        <f>229.7*0.405</f>
        <v>93.028500000000008</v>
      </c>
      <c r="H8" s="18">
        <f>6.7*0.405</f>
        <v>2.7135000000000002</v>
      </c>
      <c r="I8" s="18">
        <f>1.1*0.405</f>
        <v>0.44550000000000006</v>
      </c>
      <c r="J8" s="19">
        <f>48.3*0.405</f>
        <v>19.561499999999999</v>
      </c>
    </row>
    <row r="9" spans="1:12" ht="16.5" thickBot="1" x14ac:dyDescent="0.3">
      <c r="A9" s="59" t="s">
        <v>15</v>
      </c>
      <c r="B9" s="60"/>
      <c r="C9" s="60"/>
      <c r="D9" s="60"/>
      <c r="E9" s="61"/>
      <c r="F9" s="28">
        <f>SUM(F3:F8)</f>
        <v>69.5</v>
      </c>
      <c r="G9" s="28">
        <f t="shared" ref="G9:J9" si="0">SUM(G3:G8)</f>
        <v>614.61850000000004</v>
      </c>
      <c r="H9" s="28">
        <f t="shared" si="0"/>
        <v>20.5852</v>
      </c>
      <c r="I9" s="28">
        <f t="shared" si="0"/>
        <v>16.866399999999999</v>
      </c>
      <c r="J9" s="28">
        <f t="shared" si="0"/>
        <v>94.930099999999982</v>
      </c>
    </row>
    <row r="10" spans="1:12" x14ac:dyDescent="0.25">
      <c r="A10" s="62" t="s">
        <v>28</v>
      </c>
      <c r="B10" s="29" t="s">
        <v>16</v>
      </c>
      <c r="C10" s="30" t="s">
        <v>59</v>
      </c>
      <c r="D10" s="30" t="s">
        <v>60</v>
      </c>
      <c r="E10" s="22" t="s">
        <v>48</v>
      </c>
      <c r="F10" s="23">
        <v>15.96</v>
      </c>
      <c r="G10" s="23">
        <f>343*0.25+220*0.1</f>
        <v>107.75</v>
      </c>
      <c r="H10" s="23">
        <f>7.89*0.25+16.8*0.1</f>
        <v>3.6524999999999999</v>
      </c>
      <c r="I10" s="23">
        <f>10.85*0.25+17*0.1</f>
        <v>4.4124999999999996</v>
      </c>
      <c r="J10" s="24">
        <f>48.45*0.25+0.2*0.1</f>
        <v>12.1325</v>
      </c>
      <c r="K10"/>
    </row>
    <row r="11" spans="1:12" x14ac:dyDescent="0.25">
      <c r="A11" s="63"/>
      <c r="B11" s="13" t="s">
        <v>13</v>
      </c>
      <c r="C11" s="10" t="s">
        <v>49</v>
      </c>
      <c r="D11" s="10" t="s">
        <v>50</v>
      </c>
      <c r="E11" s="25">
        <v>33</v>
      </c>
      <c r="F11" s="12">
        <v>15.04</v>
      </c>
      <c r="G11" s="37">
        <f>182/50*33</f>
        <v>120.12</v>
      </c>
      <c r="H11" s="37">
        <f>6.74/50*33</f>
        <v>4.4484000000000004</v>
      </c>
      <c r="I11" s="37">
        <f>13.91/50*33</f>
        <v>9.1806000000000001</v>
      </c>
      <c r="J11" s="38">
        <f>7.09/50*33</f>
        <v>4.6794000000000002</v>
      </c>
      <c r="K11"/>
    </row>
    <row r="12" spans="1:12" s="49" customFormat="1" x14ac:dyDescent="0.25">
      <c r="A12" s="63"/>
      <c r="B12" s="13" t="s">
        <v>17</v>
      </c>
      <c r="C12" s="10" t="s">
        <v>61</v>
      </c>
      <c r="D12" s="10" t="s">
        <v>62</v>
      </c>
      <c r="E12" s="25">
        <v>100</v>
      </c>
      <c r="F12" s="12">
        <v>10.220000000000001</v>
      </c>
      <c r="G12" s="37">
        <f>1625*0.1</f>
        <v>162.5</v>
      </c>
      <c r="H12" s="37">
        <f>57.32*0.1</f>
        <v>5.7320000000000002</v>
      </c>
      <c r="I12" s="37">
        <f>40.62*0.1</f>
        <v>4.0620000000000003</v>
      </c>
      <c r="J12" s="38">
        <f>257.61*0.1</f>
        <v>25.761000000000003</v>
      </c>
      <c r="K12"/>
    </row>
    <row r="13" spans="1:12" s="49" customFormat="1" x14ac:dyDescent="0.25">
      <c r="A13" s="63"/>
      <c r="B13" s="13" t="s">
        <v>18</v>
      </c>
      <c r="C13" s="10" t="s">
        <v>19</v>
      </c>
      <c r="D13" s="10" t="s">
        <v>20</v>
      </c>
      <c r="E13" s="25" t="s">
        <v>34</v>
      </c>
      <c r="F13" s="12">
        <v>2.62</v>
      </c>
      <c r="G13" s="12">
        <v>60</v>
      </c>
      <c r="H13" s="12">
        <v>7.0000000000000007E-2</v>
      </c>
      <c r="I13" s="12">
        <v>0.02</v>
      </c>
      <c r="J13" s="14">
        <v>15</v>
      </c>
    </row>
    <row r="14" spans="1:12" ht="15.75" thickBot="1" x14ac:dyDescent="0.3">
      <c r="A14" s="63"/>
      <c r="B14" s="16" t="s">
        <v>14</v>
      </c>
      <c r="C14" s="17" t="s">
        <v>32</v>
      </c>
      <c r="D14" s="17" t="s">
        <v>33</v>
      </c>
      <c r="E14" s="26">
        <v>28.5</v>
      </c>
      <c r="F14" s="27">
        <v>1.1599999999999999</v>
      </c>
      <c r="G14" s="27">
        <f>229.7*0.285</f>
        <v>65.464499999999987</v>
      </c>
      <c r="H14" s="18">
        <f>6.7*0.285</f>
        <v>1.9095</v>
      </c>
      <c r="I14" s="18">
        <f>1.1*0.285</f>
        <v>0.3135</v>
      </c>
      <c r="J14" s="19">
        <f>48.3*0.285</f>
        <v>13.765499999999998</v>
      </c>
    </row>
    <row r="15" spans="1:12" ht="16.5" thickBot="1" x14ac:dyDescent="0.3">
      <c r="A15" s="64" t="s">
        <v>15</v>
      </c>
      <c r="B15" s="65"/>
      <c r="C15" s="65"/>
      <c r="D15" s="65"/>
      <c r="E15" s="66"/>
      <c r="F15" s="48">
        <f>SUM(F10:F14)</f>
        <v>44.999999999999993</v>
      </c>
      <c r="G15" s="48">
        <f t="shared" ref="G15:J15" si="1">SUM(G10:G14)</f>
        <v>515.83449999999993</v>
      </c>
      <c r="H15" s="48">
        <f t="shared" si="1"/>
        <v>15.812399999999998</v>
      </c>
      <c r="I15" s="48">
        <f t="shared" si="1"/>
        <v>17.988600000000002</v>
      </c>
      <c r="J15" s="48">
        <f t="shared" si="1"/>
        <v>71.338400000000007</v>
      </c>
    </row>
    <row r="16" spans="1:12" s="50" customFormat="1" x14ac:dyDescent="0.25">
      <c r="A16" s="63" t="s">
        <v>29</v>
      </c>
      <c r="B16" s="29" t="s">
        <v>16</v>
      </c>
      <c r="C16" s="30" t="s">
        <v>59</v>
      </c>
      <c r="D16" s="30" t="s">
        <v>60</v>
      </c>
      <c r="E16" s="22" t="s">
        <v>48</v>
      </c>
      <c r="F16" s="23">
        <v>15.96</v>
      </c>
      <c r="G16" s="23">
        <f>343*0.25+220*0.1</f>
        <v>107.75</v>
      </c>
      <c r="H16" s="23">
        <f>7.89*0.25+16.8*0.1</f>
        <v>3.6524999999999999</v>
      </c>
      <c r="I16" s="23">
        <f>10.85*0.25+17*0.1</f>
        <v>4.4124999999999996</v>
      </c>
      <c r="J16" s="24">
        <f>48.45*0.25+0.2*0.1</f>
        <v>12.1325</v>
      </c>
      <c r="K16"/>
    </row>
    <row r="17" spans="1:11" s="46" customFormat="1" x14ac:dyDescent="0.25">
      <c r="A17" s="63"/>
      <c r="B17" s="13" t="s">
        <v>13</v>
      </c>
      <c r="C17" s="10" t="s">
        <v>49</v>
      </c>
      <c r="D17" s="10" t="s">
        <v>50</v>
      </c>
      <c r="E17" s="25">
        <v>60</v>
      </c>
      <c r="F17" s="12">
        <v>27.34</v>
      </c>
      <c r="G17" s="37">
        <f>182/50*60</f>
        <v>218.4</v>
      </c>
      <c r="H17" s="37">
        <f>6.74/50*60</f>
        <v>8.088000000000001</v>
      </c>
      <c r="I17" s="37">
        <f>13.91/50*60</f>
        <v>16.692</v>
      </c>
      <c r="J17" s="38">
        <f>7.09/50*60</f>
        <v>8.5080000000000009</v>
      </c>
      <c r="K17"/>
    </row>
    <row r="18" spans="1:11" s="50" customFormat="1" x14ac:dyDescent="0.25">
      <c r="A18" s="63"/>
      <c r="B18" s="13" t="s">
        <v>17</v>
      </c>
      <c r="C18" s="10" t="s">
        <v>61</v>
      </c>
      <c r="D18" s="10" t="s">
        <v>62</v>
      </c>
      <c r="E18" s="25">
        <v>100</v>
      </c>
      <c r="F18" s="12">
        <v>10.220000000000001</v>
      </c>
      <c r="G18" s="37">
        <f>1625*0.1</f>
        <v>162.5</v>
      </c>
      <c r="H18" s="37">
        <f>57.32*0.1</f>
        <v>5.7320000000000002</v>
      </c>
      <c r="I18" s="37">
        <f>40.62*0.1</f>
        <v>4.0620000000000003</v>
      </c>
      <c r="J18" s="38">
        <f>257.61*0.1</f>
        <v>25.761000000000003</v>
      </c>
      <c r="K18"/>
    </row>
    <row r="19" spans="1:11" s="50" customFormat="1" x14ac:dyDescent="0.25">
      <c r="A19" s="63"/>
      <c r="B19" s="13" t="s">
        <v>18</v>
      </c>
      <c r="C19" s="10" t="s">
        <v>19</v>
      </c>
      <c r="D19" s="10" t="s">
        <v>20</v>
      </c>
      <c r="E19" s="25" t="s">
        <v>34</v>
      </c>
      <c r="F19" s="12">
        <v>2.62</v>
      </c>
      <c r="G19" s="12">
        <v>60</v>
      </c>
      <c r="H19" s="12">
        <v>7.0000000000000007E-2</v>
      </c>
      <c r="I19" s="12">
        <v>0.02</v>
      </c>
      <c r="J19" s="14">
        <v>15</v>
      </c>
    </row>
    <row r="20" spans="1:11" s="50" customFormat="1" x14ac:dyDescent="0.25">
      <c r="A20" s="63"/>
      <c r="B20" s="13" t="s">
        <v>14</v>
      </c>
      <c r="C20" s="10" t="s">
        <v>32</v>
      </c>
      <c r="D20" s="10" t="s">
        <v>33</v>
      </c>
      <c r="E20" s="25">
        <v>21.5</v>
      </c>
      <c r="F20" s="12">
        <v>0.87</v>
      </c>
      <c r="G20" s="12">
        <f>229.7*0.215</f>
        <v>49.385499999999993</v>
      </c>
      <c r="H20" s="11">
        <f>6.7*0.215</f>
        <v>1.4405000000000001</v>
      </c>
      <c r="I20" s="11">
        <f>1.1*0.215</f>
        <v>0.23650000000000002</v>
      </c>
      <c r="J20" s="15">
        <f>48.3*0.215</f>
        <v>10.384499999999999</v>
      </c>
    </row>
    <row r="21" spans="1:11" ht="15.75" thickBot="1" x14ac:dyDescent="0.3">
      <c r="A21" s="67"/>
      <c r="B21" s="16" t="s">
        <v>43</v>
      </c>
      <c r="C21" s="17" t="s">
        <v>44</v>
      </c>
      <c r="D21" s="17" t="s">
        <v>63</v>
      </c>
      <c r="E21" s="26">
        <v>110</v>
      </c>
      <c r="F21" s="27">
        <v>12.49</v>
      </c>
      <c r="G21" s="27">
        <f>47*1.1</f>
        <v>51.7</v>
      </c>
      <c r="H21" s="18">
        <f>0.4*1.1</f>
        <v>0.44000000000000006</v>
      </c>
      <c r="I21" s="18">
        <f>0.4*1.1</f>
        <v>0.44000000000000006</v>
      </c>
      <c r="J21" s="19">
        <f>9.8*1.1</f>
        <v>10.780000000000001</v>
      </c>
      <c r="K21"/>
    </row>
    <row r="22" spans="1:11" ht="16.5" thickBot="1" x14ac:dyDescent="0.3">
      <c r="A22" s="59" t="s">
        <v>15</v>
      </c>
      <c r="B22" s="60"/>
      <c r="C22" s="60"/>
      <c r="D22" s="60"/>
      <c r="E22" s="61"/>
      <c r="F22" s="28">
        <f>SUM(F16:F21)</f>
        <v>69.499999999999986</v>
      </c>
      <c r="G22" s="28">
        <f t="shared" ref="G22:J22" si="2">SUM(G16:G21)</f>
        <v>649.7355</v>
      </c>
      <c r="H22" s="28">
        <f t="shared" si="2"/>
        <v>19.423000000000002</v>
      </c>
      <c r="I22" s="28">
        <f t="shared" si="2"/>
        <v>25.863000000000003</v>
      </c>
      <c r="J22" s="28">
        <f t="shared" si="2"/>
        <v>82.566000000000003</v>
      </c>
      <c r="K22"/>
    </row>
    <row r="23" spans="1:11" x14ac:dyDescent="0.25">
      <c r="A23" s="62" t="s">
        <v>30</v>
      </c>
      <c r="B23" s="29" t="s">
        <v>64</v>
      </c>
      <c r="C23" s="30" t="s">
        <v>65</v>
      </c>
      <c r="D23" s="30" t="s">
        <v>66</v>
      </c>
      <c r="E23" s="32" t="s">
        <v>67</v>
      </c>
      <c r="F23" s="33">
        <v>23.59</v>
      </c>
      <c r="G23" s="35">
        <f>158/200*150</f>
        <v>118.5</v>
      </c>
      <c r="H23" s="35">
        <f>5.8/200*150</f>
        <v>4.3499999999999996</v>
      </c>
      <c r="I23" s="35">
        <f>5/200*150</f>
        <v>3.75</v>
      </c>
      <c r="J23" s="36">
        <f>8.3/200*150</f>
        <v>6.2250000000000005</v>
      </c>
      <c r="K23"/>
    </row>
    <row r="24" spans="1:11" s="46" customFormat="1" ht="15.75" thickBot="1" x14ac:dyDescent="0.3">
      <c r="A24" s="63"/>
      <c r="B24" s="16" t="s">
        <v>42</v>
      </c>
      <c r="C24" s="17" t="s">
        <v>41</v>
      </c>
      <c r="D24" s="17" t="s">
        <v>68</v>
      </c>
      <c r="E24" s="81" t="s">
        <v>69</v>
      </c>
      <c r="F24" s="18">
        <v>21.41</v>
      </c>
      <c r="G24" s="39">
        <f>435*0.24</f>
        <v>104.39999999999999</v>
      </c>
      <c r="H24" s="39">
        <f>5*0.1165</f>
        <v>0.58250000000000002</v>
      </c>
      <c r="I24" s="39">
        <f>6*0.1165</f>
        <v>0.69900000000000007</v>
      </c>
      <c r="J24" s="40">
        <f>69*0.1165</f>
        <v>8.0385000000000009</v>
      </c>
      <c r="K24"/>
    </row>
    <row r="25" spans="1:11" ht="16.5" thickBot="1" x14ac:dyDescent="0.3">
      <c r="A25" s="59" t="s">
        <v>15</v>
      </c>
      <c r="B25" s="72"/>
      <c r="C25" s="72"/>
      <c r="D25" s="72"/>
      <c r="E25" s="73"/>
      <c r="F25" s="5">
        <f>SUM(F23:F24)</f>
        <v>45</v>
      </c>
      <c r="G25" s="5">
        <f>SUM(G23:G24)</f>
        <v>222.89999999999998</v>
      </c>
      <c r="H25" s="5">
        <f>SUM(H23:H24)</f>
        <v>4.9324999999999992</v>
      </c>
      <c r="I25" s="5">
        <f>SUM(I23:I24)</f>
        <v>4.4489999999999998</v>
      </c>
      <c r="J25" s="5">
        <f>SUM(J23:J24)</f>
        <v>14.263500000000001</v>
      </c>
      <c r="K25"/>
    </row>
    <row r="27" spans="1:11" ht="15.75" thickBot="1" x14ac:dyDescent="0.3">
      <c r="A27" s="57" t="s">
        <v>25</v>
      </c>
      <c r="B27" s="57"/>
      <c r="C27" s="57"/>
      <c r="D27" s="57"/>
      <c r="E27" s="57"/>
      <c r="F27" s="57"/>
      <c r="G27" s="57"/>
      <c r="H27" s="57"/>
      <c r="I27" s="57"/>
      <c r="J27" s="57"/>
    </row>
    <row r="28" spans="1:11" ht="15.75" x14ac:dyDescent="0.25">
      <c r="A28" s="34"/>
      <c r="B28" s="34"/>
      <c r="C28" s="56" t="s">
        <v>23</v>
      </c>
      <c r="D28" s="56"/>
      <c r="G28" s="58"/>
      <c r="H28" s="58"/>
      <c r="I28" s="58"/>
      <c r="J28" s="58"/>
    </row>
    <row r="29" spans="1:11" x14ac:dyDescent="0.25">
      <c r="A29" s="1"/>
      <c r="B29" s="1"/>
      <c r="C29" s="1"/>
      <c r="D29" s="1"/>
    </row>
    <row r="30" spans="1:11" x14ac:dyDescent="0.25">
      <c r="A30" s="68" t="s">
        <v>24</v>
      </c>
      <c r="B30" s="68"/>
    </row>
    <row r="31" spans="1:11" x14ac:dyDescent="0.25">
      <c r="A31" s="68" t="s">
        <v>26</v>
      </c>
      <c r="B31" s="68"/>
    </row>
    <row r="32" spans="1:11" x14ac:dyDescent="0.25">
      <c r="A32" s="6"/>
    </row>
  </sheetData>
  <mergeCells count="15">
    <mergeCell ref="A30:B30"/>
    <mergeCell ref="A31:B31"/>
    <mergeCell ref="A3:A8"/>
    <mergeCell ref="A23:A24"/>
    <mergeCell ref="A25:E25"/>
    <mergeCell ref="B1:C1"/>
    <mergeCell ref="G1:J1"/>
    <mergeCell ref="C28:D28"/>
    <mergeCell ref="A27:J27"/>
    <mergeCell ref="G28:J28"/>
    <mergeCell ref="A9:E9"/>
    <mergeCell ref="A10:A14"/>
    <mergeCell ref="A15:E15"/>
    <mergeCell ref="A16:A21"/>
    <mergeCell ref="A22:E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B13" workbookViewId="0">
      <selection activeCell="B24" sqref="B24:J29"/>
    </sheetView>
  </sheetViews>
  <sheetFormatPr defaultRowHeight="15" x14ac:dyDescent="0.25"/>
  <cols>
    <col min="1" max="1" width="27.85546875" style="3" customWidth="1"/>
    <col min="2" max="2" width="24.7109375" style="3" customWidth="1"/>
    <col min="3" max="3" width="12.28515625" style="3" customWidth="1"/>
    <col min="4" max="4" width="47.8554687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74" t="s">
        <v>22</v>
      </c>
      <c r="C1" s="75"/>
      <c r="D1" s="1" t="s">
        <v>1</v>
      </c>
      <c r="E1" s="42"/>
      <c r="F1" s="1" t="s">
        <v>2</v>
      </c>
      <c r="G1" s="76">
        <v>44481</v>
      </c>
      <c r="H1" s="77"/>
      <c r="I1" s="77"/>
      <c r="J1" s="77"/>
      <c r="K1" s="1"/>
      <c r="L1" s="1"/>
    </row>
    <row r="2" spans="1:12" ht="16.5" thickTop="1" thickBot="1" x14ac:dyDescent="0.3">
      <c r="A2" s="41" t="s">
        <v>3</v>
      </c>
      <c r="B2" s="43" t="s">
        <v>4</v>
      </c>
      <c r="C2" s="44" t="s">
        <v>5</v>
      </c>
      <c r="D2" s="44" t="s">
        <v>6</v>
      </c>
      <c r="E2" s="44" t="s">
        <v>7</v>
      </c>
      <c r="F2" s="44" t="s">
        <v>8</v>
      </c>
      <c r="G2" s="44" t="s">
        <v>9</v>
      </c>
      <c r="H2" s="44" t="s">
        <v>10</v>
      </c>
      <c r="I2" s="44" t="s">
        <v>11</v>
      </c>
      <c r="J2" s="45" t="s">
        <v>12</v>
      </c>
    </row>
    <row r="3" spans="1:12" ht="15.75" thickTop="1" x14ac:dyDescent="0.25">
      <c r="A3" s="69" t="s">
        <v>35</v>
      </c>
      <c r="B3" s="20" t="s">
        <v>31</v>
      </c>
      <c r="C3" s="21" t="s">
        <v>51</v>
      </c>
      <c r="D3" s="21" t="s">
        <v>52</v>
      </c>
      <c r="E3" s="22">
        <v>60</v>
      </c>
      <c r="F3" s="22">
        <v>4.6399999999999997</v>
      </c>
      <c r="G3" s="23">
        <f>604*0.06</f>
        <v>36.24</v>
      </c>
      <c r="H3" s="23">
        <f>13.12*0.06</f>
        <v>0.7871999999999999</v>
      </c>
      <c r="I3" s="23">
        <f>32.49*0.06</f>
        <v>1.9494</v>
      </c>
      <c r="J3" s="24">
        <f>64.66*0.06</f>
        <v>3.8795999999999995</v>
      </c>
    </row>
    <row r="4" spans="1:12" s="47" customFormat="1" x14ac:dyDescent="0.25">
      <c r="A4" s="70"/>
      <c r="B4" s="13" t="s">
        <v>13</v>
      </c>
      <c r="C4" s="10" t="s">
        <v>53</v>
      </c>
      <c r="D4" s="10" t="s">
        <v>54</v>
      </c>
      <c r="E4" s="25">
        <v>55</v>
      </c>
      <c r="F4" s="12">
        <v>33.25</v>
      </c>
      <c r="G4" s="37">
        <f>71/50*55</f>
        <v>78.099999999999994</v>
      </c>
      <c r="H4" s="37">
        <f>8.8/50*55</f>
        <v>9.6800000000000015</v>
      </c>
      <c r="I4" s="37">
        <f>3.1/50*55</f>
        <v>3.41</v>
      </c>
      <c r="J4" s="38">
        <f>1.9/50*55</f>
        <v>2.09</v>
      </c>
    </row>
    <row r="5" spans="1:12" s="47" customFormat="1" x14ac:dyDescent="0.25">
      <c r="A5" s="70"/>
      <c r="B5" s="13" t="s">
        <v>17</v>
      </c>
      <c r="C5" s="10" t="s">
        <v>55</v>
      </c>
      <c r="D5" s="10" t="s">
        <v>56</v>
      </c>
      <c r="E5" s="25">
        <v>150</v>
      </c>
      <c r="F5" s="12">
        <v>17.14</v>
      </c>
      <c r="G5" s="37">
        <f>915*0.15</f>
        <v>137.25</v>
      </c>
      <c r="H5" s="37">
        <f>20.43*0.15</f>
        <v>3.0644999999999998</v>
      </c>
      <c r="I5" s="37">
        <f>32.01*0.15</f>
        <v>4.8014999999999999</v>
      </c>
      <c r="J5" s="38">
        <f>136.26*0.15</f>
        <v>20.438999999999997</v>
      </c>
    </row>
    <row r="6" spans="1:12" x14ac:dyDescent="0.25">
      <c r="A6" s="70"/>
      <c r="B6" s="13" t="s">
        <v>38</v>
      </c>
      <c r="C6" s="10" t="s">
        <v>39</v>
      </c>
      <c r="D6" s="10" t="s">
        <v>40</v>
      </c>
      <c r="E6" s="25">
        <v>200</v>
      </c>
      <c r="F6" s="12">
        <v>8.74</v>
      </c>
      <c r="G6" s="12">
        <v>111</v>
      </c>
      <c r="H6" s="37">
        <v>0.7</v>
      </c>
      <c r="I6" s="37">
        <v>0</v>
      </c>
      <c r="J6" s="38">
        <v>27</v>
      </c>
    </row>
    <row r="7" spans="1:12" x14ac:dyDescent="0.25">
      <c r="A7" s="70"/>
      <c r="B7" s="13" t="s">
        <v>21</v>
      </c>
      <c r="C7" s="10" t="s">
        <v>57</v>
      </c>
      <c r="D7" s="10" t="s">
        <v>58</v>
      </c>
      <c r="E7" s="25">
        <v>50</v>
      </c>
      <c r="F7" s="12">
        <v>4.07</v>
      </c>
      <c r="G7" s="12">
        <f>318*0.5</f>
        <v>159</v>
      </c>
      <c r="H7" s="11">
        <f>7.28*0.5</f>
        <v>3.64</v>
      </c>
      <c r="I7" s="11">
        <f>12.52*0.5</f>
        <v>6.26</v>
      </c>
      <c r="J7" s="15">
        <f>43.92*0.5</f>
        <v>21.96</v>
      </c>
    </row>
    <row r="8" spans="1:12" ht="15.75" thickBot="1" x14ac:dyDescent="0.3">
      <c r="A8" s="70"/>
      <c r="B8" s="16" t="s">
        <v>14</v>
      </c>
      <c r="C8" s="17" t="s">
        <v>32</v>
      </c>
      <c r="D8" s="17" t="s">
        <v>33</v>
      </c>
      <c r="E8" s="26">
        <v>40.5</v>
      </c>
      <c r="F8" s="27">
        <v>1.66</v>
      </c>
      <c r="G8" s="27">
        <f>229.7*0.405</f>
        <v>93.028500000000008</v>
      </c>
      <c r="H8" s="18">
        <f>6.7*0.405</f>
        <v>2.7135000000000002</v>
      </c>
      <c r="I8" s="18">
        <f>1.1*0.405</f>
        <v>0.44550000000000006</v>
      </c>
      <c r="J8" s="19">
        <f>48.3*0.405</f>
        <v>19.561499999999999</v>
      </c>
    </row>
    <row r="9" spans="1:12" ht="16.5" thickBot="1" x14ac:dyDescent="0.3">
      <c r="A9" s="59" t="s">
        <v>15</v>
      </c>
      <c r="B9" s="60"/>
      <c r="C9" s="60"/>
      <c r="D9" s="60"/>
      <c r="E9" s="61"/>
      <c r="F9" s="28">
        <f>SUM(F3:F8)</f>
        <v>69.5</v>
      </c>
      <c r="G9" s="28">
        <f t="shared" ref="G9:J9" si="0">SUM(G3:G8)</f>
        <v>614.61850000000004</v>
      </c>
      <c r="H9" s="28">
        <f t="shared" si="0"/>
        <v>20.5852</v>
      </c>
      <c r="I9" s="28">
        <f t="shared" si="0"/>
        <v>16.866399999999999</v>
      </c>
      <c r="J9" s="28">
        <f t="shared" si="0"/>
        <v>94.930099999999982</v>
      </c>
    </row>
    <row r="10" spans="1:12" s="50" customFormat="1" x14ac:dyDescent="0.25">
      <c r="A10" s="82" t="s">
        <v>36</v>
      </c>
      <c r="B10" s="20" t="s">
        <v>31</v>
      </c>
      <c r="C10" s="21" t="s">
        <v>51</v>
      </c>
      <c r="D10" s="21" t="s">
        <v>52</v>
      </c>
      <c r="E10" s="22">
        <v>60</v>
      </c>
      <c r="F10" s="22">
        <v>4.6399999999999997</v>
      </c>
      <c r="G10" s="23">
        <f>604*0.06</f>
        <v>36.24</v>
      </c>
      <c r="H10" s="23">
        <f>13.12*0.06</f>
        <v>0.7871999999999999</v>
      </c>
      <c r="I10" s="23">
        <f>32.49*0.06</f>
        <v>1.9494</v>
      </c>
      <c r="J10" s="24">
        <f>64.66*0.06</f>
        <v>3.8795999999999995</v>
      </c>
    </row>
    <row r="11" spans="1:12" s="50" customFormat="1" x14ac:dyDescent="0.25">
      <c r="A11" s="83"/>
      <c r="B11" s="13" t="s">
        <v>17</v>
      </c>
      <c r="C11" s="10" t="s">
        <v>55</v>
      </c>
      <c r="D11" s="10" t="s">
        <v>56</v>
      </c>
      <c r="E11" s="25">
        <v>150</v>
      </c>
      <c r="F11" s="12">
        <v>17.14</v>
      </c>
      <c r="G11" s="37">
        <f>915*0.15</f>
        <v>137.25</v>
      </c>
      <c r="H11" s="37">
        <f>20.43*0.15</f>
        <v>3.0644999999999998</v>
      </c>
      <c r="I11" s="37">
        <f>32.01*0.15</f>
        <v>4.8014999999999999</v>
      </c>
      <c r="J11" s="38">
        <f>136.26*0.15</f>
        <v>20.438999999999997</v>
      </c>
    </row>
    <row r="12" spans="1:12" s="47" customFormat="1" x14ac:dyDescent="0.25">
      <c r="A12" s="83"/>
      <c r="B12" s="13" t="s">
        <v>18</v>
      </c>
      <c r="C12" s="10" t="s">
        <v>19</v>
      </c>
      <c r="D12" s="10" t="s">
        <v>20</v>
      </c>
      <c r="E12" s="25" t="s">
        <v>34</v>
      </c>
      <c r="F12" s="12">
        <v>2.62</v>
      </c>
      <c r="G12" s="12">
        <v>60</v>
      </c>
      <c r="H12" s="12">
        <v>7.0000000000000007E-2</v>
      </c>
      <c r="I12" s="12">
        <v>0.02</v>
      </c>
      <c r="J12" s="14">
        <v>15</v>
      </c>
    </row>
    <row r="13" spans="1:12" ht="15.75" thickBot="1" x14ac:dyDescent="0.3">
      <c r="A13" s="84"/>
      <c r="B13" s="16" t="s">
        <v>14</v>
      </c>
      <c r="C13" s="17" t="s">
        <v>41</v>
      </c>
      <c r="D13" s="17" t="s">
        <v>47</v>
      </c>
      <c r="E13" s="26">
        <v>22</v>
      </c>
      <c r="F13" s="27">
        <v>2.6</v>
      </c>
      <c r="G13" s="27">
        <f>280*0.22</f>
        <v>61.6</v>
      </c>
      <c r="H13" s="18">
        <f>8*0.22</f>
        <v>1.76</v>
      </c>
      <c r="I13" s="18">
        <f>3*0.22</f>
        <v>0.66</v>
      </c>
      <c r="J13" s="19">
        <f>54*0.22</f>
        <v>11.88</v>
      </c>
    </row>
    <row r="14" spans="1:12" ht="16.5" thickBot="1" x14ac:dyDescent="0.3">
      <c r="A14" s="59" t="s">
        <v>15</v>
      </c>
      <c r="B14" s="60"/>
      <c r="C14" s="60"/>
      <c r="D14" s="60"/>
      <c r="E14" s="61"/>
      <c r="F14" s="28">
        <f>SUM(F10:F13)</f>
        <v>27.000000000000004</v>
      </c>
      <c r="G14" s="28">
        <f t="shared" ref="G14:J14" si="1">SUM(G10:G13)</f>
        <v>295.09000000000003</v>
      </c>
      <c r="H14" s="28">
        <f t="shared" si="1"/>
        <v>5.6816999999999993</v>
      </c>
      <c r="I14" s="28">
        <f t="shared" si="1"/>
        <v>7.4308999999999994</v>
      </c>
      <c r="J14" s="28">
        <f t="shared" si="1"/>
        <v>51.198599999999999</v>
      </c>
    </row>
    <row r="15" spans="1:12" s="49" customFormat="1" ht="15.75" thickTop="1" x14ac:dyDescent="0.25">
      <c r="A15" s="69" t="s">
        <v>37</v>
      </c>
      <c r="B15" s="20" t="s">
        <v>31</v>
      </c>
      <c r="C15" s="21" t="s">
        <v>70</v>
      </c>
      <c r="D15" s="21" t="s">
        <v>71</v>
      </c>
      <c r="E15" s="32" t="s">
        <v>72</v>
      </c>
      <c r="F15" s="22">
        <v>4.38</v>
      </c>
      <c r="G15" s="23">
        <f>250*0.15+229.7*0.2</f>
        <v>83.44</v>
      </c>
      <c r="H15" s="23">
        <f>0.4*0.15+6.7*0.2</f>
        <v>1.4000000000000001</v>
      </c>
      <c r="I15" s="23">
        <f>0*0.15+1.1*0.2</f>
        <v>0.22000000000000003</v>
      </c>
      <c r="J15" s="24">
        <f>65*0.15+48.3*0.2</f>
        <v>19.41</v>
      </c>
    </row>
    <row r="16" spans="1:12" s="49" customFormat="1" ht="15.75" thickBot="1" x14ac:dyDescent="0.3">
      <c r="A16" s="70"/>
      <c r="B16" s="16" t="s">
        <v>18</v>
      </c>
      <c r="C16" s="17" t="s">
        <v>19</v>
      </c>
      <c r="D16" s="17" t="s">
        <v>20</v>
      </c>
      <c r="E16" s="26" t="s">
        <v>34</v>
      </c>
      <c r="F16" s="27">
        <v>2.62</v>
      </c>
      <c r="G16" s="27">
        <v>60</v>
      </c>
      <c r="H16" s="27">
        <v>7.0000000000000007E-2</v>
      </c>
      <c r="I16" s="27">
        <v>0.02</v>
      </c>
      <c r="J16" s="51">
        <v>15</v>
      </c>
    </row>
    <row r="17" spans="1:10" ht="16.5" thickBot="1" x14ac:dyDescent="0.3">
      <c r="A17" s="59" t="s">
        <v>15</v>
      </c>
      <c r="B17" s="60"/>
      <c r="C17" s="60"/>
      <c r="D17" s="60"/>
      <c r="E17" s="61"/>
      <c r="F17" s="28">
        <f>SUM(F15:F16)</f>
        <v>7</v>
      </c>
      <c r="G17" s="28">
        <f t="shared" ref="G17:J17" si="2">SUM(G15:G16)</f>
        <v>143.44</v>
      </c>
      <c r="H17" s="28">
        <f t="shared" si="2"/>
        <v>1.4700000000000002</v>
      </c>
      <c r="I17" s="28">
        <f t="shared" si="2"/>
        <v>0.24000000000000002</v>
      </c>
      <c r="J17" s="28">
        <f t="shared" si="2"/>
        <v>34.409999999999997</v>
      </c>
    </row>
    <row r="18" spans="1:10" x14ac:dyDescent="0.25">
      <c r="A18" s="62" t="s">
        <v>45</v>
      </c>
      <c r="B18" s="29" t="s">
        <v>16</v>
      </c>
      <c r="C18" s="30" t="s">
        <v>59</v>
      </c>
      <c r="D18" s="30" t="s">
        <v>60</v>
      </c>
      <c r="E18" s="22" t="s">
        <v>48</v>
      </c>
      <c r="F18" s="23">
        <v>15.96</v>
      </c>
      <c r="G18" s="23">
        <f>343*0.25+220*0.1</f>
        <v>107.75</v>
      </c>
      <c r="H18" s="23">
        <f>7.89*0.25+16.8*0.1</f>
        <v>3.6524999999999999</v>
      </c>
      <c r="I18" s="23">
        <f>10.85*0.25+17*0.1</f>
        <v>4.4124999999999996</v>
      </c>
      <c r="J18" s="24">
        <f>48.45*0.25+0.2*0.1</f>
        <v>12.1325</v>
      </c>
    </row>
    <row r="19" spans="1:10" x14ac:dyDescent="0.25">
      <c r="A19" s="63"/>
      <c r="B19" s="13" t="s">
        <v>13</v>
      </c>
      <c r="C19" s="10" t="s">
        <v>49</v>
      </c>
      <c r="D19" s="10" t="s">
        <v>50</v>
      </c>
      <c r="E19" s="25">
        <v>33</v>
      </c>
      <c r="F19" s="12">
        <v>15.04</v>
      </c>
      <c r="G19" s="37">
        <f>182/50*33</f>
        <v>120.12</v>
      </c>
      <c r="H19" s="37">
        <f>6.74/50*33</f>
        <v>4.4484000000000004</v>
      </c>
      <c r="I19" s="37">
        <f>13.91/50*33</f>
        <v>9.1806000000000001</v>
      </c>
      <c r="J19" s="38">
        <f>7.09/50*33</f>
        <v>4.6794000000000002</v>
      </c>
    </row>
    <row r="20" spans="1:10" s="49" customFormat="1" x14ac:dyDescent="0.25">
      <c r="A20" s="63"/>
      <c r="B20" s="13" t="s">
        <v>17</v>
      </c>
      <c r="C20" s="10" t="s">
        <v>61</v>
      </c>
      <c r="D20" s="10" t="s">
        <v>62</v>
      </c>
      <c r="E20" s="25">
        <v>100</v>
      </c>
      <c r="F20" s="12">
        <v>10.220000000000001</v>
      </c>
      <c r="G20" s="37">
        <f>1625*0.1</f>
        <v>162.5</v>
      </c>
      <c r="H20" s="37">
        <f>57.32*0.1</f>
        <v>5.7320000000000002</v>
      </c>
      <c r="I20" s="37">
        <f>40.62*0.1</f>
        <v>4.0620000000000003</v>
      </c>
      <c r="J20" s="38">
        <f>257.61*0.1</f>
        <v>25.761000000000003</v>
      </c>
    </row>
    <row r="21" spans="1:10" x14ac:dyDescent="0.25">
      <c r="A21" s="63"/>
      <c r="B21" s="13" t="s">
        <v>18</v>
      </c>
      <c r="C21" s="10" t="s">
        <v>19</v>
      </c>
      <c r="D21" s="10" t="s">
        <v>20</v>
      </c>
      <c r="E21" s="25" t="s">
        <v>34</v>
      </c>
      <c r="F21" s="12">
        <v>2.62</v>
      </c>
      <c r="G21" s="12">
        <v>60</v>
      </c>
      <c r="H21" s="12">
        <v>7.0000000000000007E-2</v>
      </c>
      <c r="I21" s="12">
        <v>0.02</v>
      </c>
      <c r="J21" s="14">
        <v>15</v>
      </c>
    </row>
    <row r="22" spans="1:10" ht="15.75" thickBot="1" x14ac:dyDescent="0.3">
      <c r="A22" s="63"/>
      <c r="B22" s="16" t="s">
        <v>14</v>
      </c>
      <c r="C22" s="17" t="s">
        <v>32</v>
      </c>
      <c r="D22" s="17" t="s">
        <v>33</v>
      </c>
      <c r="E22" s="26">
        <v>28.5</v>
      </c>
      <c r="F22" s="27">
        <v>1.1599999999999999</v>
      </c>
      <c r="G22" s="27">
        <f>229.7*0.285</f>
        <v>65.464499999999987</v>
      </c>
      <c r="H22" s="18">
        <f>6.7*0.285</f>
        <v>1.9095</v>
      </c>
      <c r="I22" s="18">
        <f>1.1*0.285</f>
        <v>0.3135</v>
      </c>
      <c r="J22" s="19">
        <f>48.3*0.285</f>
        <v>13.765499999999998</v>
      </c>
    </row>
    <row r="23" spans="1:10" ht="16.5" thickBot="1" x14ac:dyDescent="0.3">
      <c r="A23" s="64" t="s">
        <v>15</v>
      </c>
      <c r="B23" s="79"/>
      <c r="C23" s="79"/>
      <c r="D23" s="79"/>
      <c r="E23" s="80"/>
      <c r="F23" s="31">
        <f>SUM(F18:F22)</f>
        <v>44.999999999999993</v>
      </c>
      <c r="G23" s="31">
        <f>SUM(G18:G22)</f>
        <v>515.83449999999993</v>
      </c>
      <c r="H23" s="31">
        <f>SUM(H18:H22)</f>
        <v>15.812399999999998</v>
      </c>
      <c r="I23" s="31">
        <f>SUM(I18:I22)</f>
        <v>17.988600000000002</v>
      </c>
      <c r="J23" s="31">
        <f>SUM(J18:J22)</f>
        <v>71.338400000000007</v>
      </c>
    </row>
    <row r="24" spans="1:10" x14ac:dyDescent="0.25">
      <c r="A24" s="78" t="s">
        <v>46</v>
      </c>
      <c r="B24" s="29" t="s">
        <v>16</v>
      </c>
      <c r="C24" s="30" t="s">
        <v>59</v>
      </c>
      <c r="D24" s="30" t="s">
        <v>60</v>
      </c>
      <c r="E24" s="22" t="s">
        <v>48</v>
      </c>
      <c r="F24" s="23">
        <v>15.96</v>
      </c>
      <c r="G24" s="23">
        <f>343*0.25+220*0.1</f>
        <v>107.75</v>
      </c>
      <c r="H24" s="23">
        <f>7.89*0.25+16.8*0.1</f>
        <v>3.6524999999999999</v>
      </c>
      <c r="I24" s="23">
        <f>10.85*0.25+17*0.1</f>
        <v>4.4124999999999996</v>
      </c>
      <c r="J24" s="24">
        <f>48.45*0.25+0.2*0.1</f>
        <v>12.1325</v>
      </c>
    </row>
    <row r="25" spans="1:10" x14ac:dyDescent="0.25">
      <c r="A25" s="78"/>
      <c r="B25" s="13" t="s">
        <v>13</v>
      </c>
      <c r="C25" s="10" t="s">
        <v>49</v>
      </c>
      <c r="D25" s="10" t="s">
        <v>50</v>
      </c>
      <c r="E25" s="25">
        <v>60</v>
      </c>
      <c r="F25" s="12">
        <v>27.34</v>
      </c>
      <c r="G25" s="37">
        <f>182/50*60</f>
        <v>218.4</v>
      </c>
      <c r="H25" s="37">
        <f>6.74/50*60</f>
        <v>8.088000000000001</v>
      </c>
      <c r="I25" s="37">
        <f>13.91/50*60</f>
        <v>16.692</v>
      </c>
      <c r="J25" s="38">
        <f>7.09/50*60</f>
        <v>8.5080000000000009</v>
      </c>
    </row>
    <row r="26" spans="1:10" x14ac:dyDescent="0.25">
      <c r="A26" s="78"/>
      <c r="B26" s="13" t="s">
        <v>17</v>
      </c>
      <c r="C26" s="10" t="s">
        <v>61</v>
      </c>
      <c r="D26" s="10" t="s">
        <v>62</v>
      </c>
      <c r="E26" s="25">
        <v>100</v>
      </c>
      <c r="F26" s="12">
        <v>10.220000000000001</v>
      </c>
      <c r="G26" s="37">
        <f>1625*0.1</f>
        <v>162.5</v>
      </c>
      <c r="H26" s="37">
        <f>57.32*0.1</f>
        <v>5.7320000000000002</v>
      </c>
      <c r="I26" s="37">
        <f>40.62*0.1</f>
        <v>4.0620000000000003</v>
      </c>
      <c r="J26" s="38">
        <f>257.61*0.1</f>
        <v>25.761000000000003</v>
      </c>
    </row>
    <row r="27" spans="1:10" x14ac:dyDescent="0.25">
      <c r="A27" s="78"/>
      <c r="B27" s="13" t="s">
        <v>18</v>
      </c>
      <c r="C27" s="10" t="s">
        <v>19</v>
      </c>
      <c r="D27" s="10" t="s">
        <v>20</v>
      </c>
      <c r="E27" s="25" t="s">
        <v>34</v>
      </c>
      <c r="F27" s="12">
        <v>2.62</v>
      </c>
      <c r="G27" s="12">
        <v>60</v>
      </c>
      <c r="H27" s="12">
        <v>7.0000000000000007E-2</v>
      </c>
      <c r="I27" s="12">
        <v>0.02</v>
      </c>
      <c r="J27" s="14">
        <v>15</v>
      </c>
    </row>
    <row r="28" spans="1:10" x14ac:dyDescent="0.25">
      <c r="A28" s="78"/>
      <c r="B28" s="13" t="s">
        <v>14</v>
      </c>
      <c r="C28" s="10" t="s">
        <v>32</v>
      </c>
      <c r="D28" s="10" t="s">
        <v>33</v>
      </c>
      <c r="E28" s="25">
        <v>21.5</v>
      </c>
      <c r="F28" s="12">
        <v>0.87</v>
      </c>
      <c r="G28" s="12">
        <f>229.7*0.215</f>
        <v>49.385499999999993</v>
      </c>
      <c r="H28" s="11">
        <f>6.7*0.215</f>
        <v>1.4405000000000001</v>
      </c>
      <c r="I28" s="11">
        <f>1.1*0.215</f>
        <v>0.23650000000000002</v>
      </c>
      <c r="J28" s="15">
        <f>48.3*0.215</f>
        <v>10.384499999999999</v>
      </c>
    </row>
    <row r="29" spans="1:10" ht="15.75" thickBot="1" x14ac:dyDescent="0.3">
      <c r="A29" s="78"/>
      <c r="B29" s="16" t="s">
        <v>43</v>
      </c>
      <c r="C29" s="17" t="s">
        <v>44</v>
      </c>
      <c r="D29" s="17" t="s">
        <v>63</v>
      </c>
      <c r="E29" s="26">
        <v>110</v>
      </c>
      <c r="F29" s="27">
        <v>12.49</v>
      </c>
      <c r="G29" s="27">
        <f>47*1.1</f>
        <v>51.7</v>
      </c>
      <c r="H29" s="18">
        <f>0.4*1.1</f>
        <v>0.44000000000000006</v>
      </c>
      <c r="I29" s="18">
        <f>0.4*1.1</f>
        <v>0.44000000000000006</v>
      </c>
      <c r="J29" s="19">
        <f>9.8*1.1</f>
        <v>10.780000000000001</v>
      </c>
    </row>
    <row r="30" spans="1:10" ht="16.5" thickBot="1" x14ac:dyDescent="0.3">
      <c r="A30" s="64" t="s">
        <v>15</v>
      </c>
      <c r="B30" s="79"/>
      <c r="C30" s="79"/>
      <c r="D30" s="79"/>
      <c r="E30" s="80"/>
      <c r="F30" s="31">
        <f>SUM(F24:F29)</f>
        <v>69.499999999999986</v>
      </c>
      <c r="G30" s="31">
        <f t="shared" ref="G30:J30" si="3">SUM(G24:G29)</f>
        <v>649.7355</v>
      </c>
      <c r="H30" s="31">
        <f t="shared" si="3"/>
        <v>19.423000000000002</v>
      </c>
      <c r="I30" s="31">
        <f t="shared" si="3"/>
        <v>25.863000000000003</v>
      </c>
      <c r="J30" s="31">
        <f t="shared" si="3"/>
        <v>82.566000000000003</v>
      </c>
    </row>
    <row r="32" spans="1:10" ht="15.75" thickBot="1" x14ac:dyDescent="0.3">
      <c r="A32" s="57" t="s">
        <v>25</v>
      </c>
      <c r="B32" s="57"/>
      <c r="C32" s="57"/>
      <c r="D32" s="57"/>
      <c r="E32" s="57"/>
      <c r="F32" s="57"/>
      <c r="G32" s="57"/>
      <c r="H32" s="57"/>
      <c r="I32" s="57"/>
      <c r="J32" s="57"/>
    </row>
    <row r="33" spans="1:10" ht="15.75" x14ac:dyDescent="0.25">
      <c r="A33" s="34"/>
      <c r="B33" s="34"/>
      <c r="C33" s="56" t="s">
        <v>23</v>
      </c>
      <c r="D33" s="56"/>
      <c r="G33" s="58"/>
      <c r="H33" s="58"/>
      <c r="I33" s="58"/>
      <c r="J33" s="58"/>
    </row>
    <row r="34" spans="1:10" x14ac:dyDescent="0.25">
      <c r="A34" s="1"/>
      <c r="B34" s="1"/>
      <c r="C34" s="1"/>
      <c r="D34" s="1"/>
    </row>
    <row r="35" spans="1:10" x14ac:dyDescent="0.25">
      <c r="A35" s="68" t="s">
        <v>24</v>
      </c>
      <c r="B35" s="68"/>
    </row>
    <row r="36" spans="1:10" x14ac:dyDescent="0.25">
      <c r="A36" s="68" t="s">
        <v>26</v>
      </c>
      <c r="B36" s="68"/>
    </row>
    <row r="37" spans="1:10" x14ac:dyDescent="0.25">
      <c r="A37" s="6"/>
    </row>
  </sheetData>
  <mergeCells count="17">
    <mergeCell ref="A35:B35"/>
    <mergeCell ref="A36:B36"/>
    <mergeCell ref="A14:E14"/>
    <mergeCell ref="A15:A16"/>
    <mergeCell ref="A17:E17"/>
    <mergeCell ref="A24:A29"/>
    <mergeCell ref="A30:E30"/>
    <mergeCell ref="A32:J32"/>
    <mergeCell ref="C33:D33"/>
    <mergeCell ref="G33:J33"/>
    <mergeCell ref="A23:E23"/>
    <mergeCell ref="B1:C1"/>
    <mergeCell ref="G1:J1"/>
    <mergeCell ref="A3:A8"/>
    <mergeCell ref="A9:E9"/>
    <mergeCell ref="A18:A22"/>
    <mergeCell ref="A10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12.10 1-4 кл</vt:lpstr>
      <vt:lpstr>12.10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2021-10-11T12:17:02Z</dcterms:modified>
</cp:coreProperties>
</file>