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83FBDFD-AB89-4E43-9E87-40BB9E0369C3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20.09 1-4 кл" sheetId="1" r:id="rId1"/>
    <sheet name="20.09 5-11 кл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H22" i="2"/>
  <c r="I22" i="2"/>
  <c r="J22" i="2"/>
  <c r="F22" i="2"/>
  <c r="J21" i="2"/>
  <c r="I21" i="2"/>
  <c r="H21" i="2"/>
  <c r="G21" i="2"/>
  <c r="J19" i="2"/>
  <c r="I19" i="2"/>
  <c r="H19" i="2"/>
  <c r="G19" i="2"/>
  <c r="J18" i="2"/>
  <c r="I18" i="2"/>
  <c r="H18" i="2"/>
  <c r="G18" i="2"/>
  <c r="J17" i="2"/>
  <c r="I17" i="2"/>
  <c r="H17" i="2"/>
  <c r="G17" i="2"/>
  <c r="G29" i="2"/>
  <c r="H29" i="2"/>
  <c r="I29" i="2"/>
  <c r="J29" i="2"/>
  <c r="F29" i="2"/>
  <c r="J28" i="2"/>
  <c r="I28" i="2"/>
  <c r="H28" i="2"/>
  <c r="G28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G16" i="2"/>
  <c r="H16" i="2"/>
  <c r="I16" i="2"/>
  <c r="J16" i="2"/>
  <c r="F16" i="2"/>
  <c r="J14" i="2"/>
  <c r="I14" i="2"/>
  <c r="H14" i="2"/>
  <c r="G14" i="2"/>
  <c r="G13" i="2" l="1"/>
  <c r="H13" i="2"/>
  <c r="I13" i="2"/>
  <c r="J13" i="2"/>
  <c r="F13" i="2"/>
  <c r="J11" i="2"/>
  <c r="I11" i="2"/>
  <c r="H11" i="2"/>
  <c r="G11" i="2"/>
  <c r="J10" i="2"/>
  <c r="I10" i="2"/>
  <c r="H10" i="2"/>
  <c r="G10" i="2"/>
  <c r="F9" i="2"/>
  <c r="J8" i="2"/>
  <c r="I8" i="2"/>
  <c r="H8" i="2"/>
  <c r="G8" i="2"/>
  <c r="J5" i="2" l="1"/>
  <c r="I5" i="2"/>
  <c r="H5" i="2"/>
  <c r="G5" i="2"/>
  <c r="J4" i="1"/>
  <c r="I4" i="1"/>
  <c r="H4" i="1"/>
  <c r="G4" i="1"/>
  <c r="G4" i="2"/>
  <c r="I3" i="2"/>
  <c r="H3" i="2"/>
  <c r="G3" i="2"/>
  <c r="G9" i="2" s="1"/>
  <c r="J7" i="2"/>
  <c r="I7" i="2"/>
  <c r="H7" i="2"/>
  <c r="G7" i="2"/>
  <c r="J4" i="2"/>
  <c r="I4" i="2"/>
  <c r="H4" i="2"/>
  <c r="J3" i="2"/>
  <c r="J9" i="2" s="1"/>
  <c r="G22" i="1"/>
  <c r="H22" i="1"/>
  <c r="I22" i="1"/>
  <c r="J22" i="1"/>
  <c r="F22" i="1"/>
  <c r="J21" i="1"/>
  <c r="I21" i="1"/>
  <c r="H21" i="1"/>
  <c r="G21" i="1"/>
  <c r="H9" i="2" l="1"/>
  <c r="I9" i="2"/>
  <c r="J18" i="1"/>
  <c r="I18" i="1"/>
  <c r="H18" i="1"/>
  <c r="G18" i="1"/>
  <c r="J16" i="1"/>
  <c r="I16" i="1"/>
  <c r="H16" i="1"/>
  <c r="G16" i="1"/>
  <c r="J17" i="1"/>
  <c r="I17" i="1"/>
  <c r="H17" i="1"/>
  <c r="G17" i="1"/>
  <c r="G15" i="1"/>
  <c r="H15" i="1"/>
  <c r="I15" i="1"/>
  <c r="J15" i="1"/>
  <c r="F15" i="1"/>
  <c r="J14" i="1"/>
  <c r="I14" i="1"/>
  <c r="H14" i="1"/>
  <c r="G14" i="1"/>
  <c r="J11" i="1"/>
  <c r="I11" i="1"/>
  <c r="H11" i="1"/>
  <c r="G11" i="1"/>
  <c r="J10" i="1"/>
  <c r="I10" i="1"/>
  <c r="H10" i="1"/>
  <c r="G10" i="1"/>
  <c r="J25" i="1"/>
  <c r="I25" i="1"/>
  <c r="H25" i="1"/>
  <c r="G25" i="1"/>
  <c r="J24" i="1"/>
  <c r="I24" i="1"/>
  <c r="H24" i="1"/>
  <c r="G24" i="1"/>
  <c r="J23" i="1"/>
  <c r="I23" i="1"/>
  <c r="H23" i="1"/>
  <c r="G23" i="1"/>
  <c r="G9" i="1"/>
  <c r="H9" i="1"/>
  <c r="I9" i="1"/>
  <c r="J9" i="1"/>
  <c r="F9" i="1"/>
  <c r="J8" i="1"/>
  <c r="I8" i="1"/>
  <c r="H8" i="1"/>
  <c r="G8" i="1"/>
  <c r="G7" i="1"/>
  <c r="J7" i="1"/>
  <c r="I7" i="1"/>
  <c r="H7" i="1"/>
  <c r="J5" i="1"/>
  <c r="I5" i="1"/>
  <c r="H5" i="1"/>
  <c r="G5" i="1"/>
  <c r="J3" i="1"/>
  <c r="I3" i="1"/>
  <c r="H3" i="1"/>
  <c r="G3" i="1"/>
  <c r="F26" i="1" l="1"/>
  <c r="I26" i="1"/>
  <c r="H26" i="1"/>
  <c r="G26" i="1"/>
  <c r="J26" i="1" l="1"/>
  <c r="J12" i="1"/>
  <c r="I12" i="1"/>
  <c r="H12" i="1"/>
  <c r="G12" i="1"/>
  <c r="J19" i="1"/>
  <c r="I19" i="1"/>
  <c r="H19" i="1"/>
  <c r="G19" i="1"/>
</calcChain>
</file>

<file path=xl/sharedStrings.xml><?xml version="1.0" encoding="utf-8"?>
<sst xmlns="http://schemas.openxmlformats.org/spreadsheetml/2006/main" count="197" uniqueCount="76">
  <si>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</si>
  <si>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</si>
  <si>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</si>
  <si>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</si>
  <si>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</si>
  <si>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</si>
  <si>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</si>
  <si>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</si>
  <si>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</si>
  <si>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</si>
  <si>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</si>
  <si>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</si>
  <si>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</si>
  <si>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</si>
  <si>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</si>
  <si>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</si>
  <si>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</si>
  <si>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</si>
  <si>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</si>
  <si>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</si>
  <si>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</si>
  <si>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</si>
  <si>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</si>
  <si>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</si>
  <si>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</si>
  <si>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</si>
  <si>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</si>
  <si>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</si>
  <si>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</si>
  <si>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</si>
  <si>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</si>
  <si>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</si>
  <si>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</si>
  <si>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</si>
  <si>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</si>
  <si>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</si>
  <si>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</si>
  <si>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</si>
  <si>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</si>
  <si>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</si>
  <si>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</si>
  <si>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Напиток</t>
  </si>
  <si>
    <t>ТТК №89</t>
  </si>
  <si>
    <t>Напиток ягодный (из компотной смеси)</t>
  </si>
  <si>
    <t>№309-2015г.</t>
  </si>
  <si>
    <t>Макароны отварные</t>
  </si>
  <si>
    <t>Фрукт</t>
  </si>
  <si>
    <t>№304-2015г.</t>
  </si>
  <si>
    <t>Рис отварной</t>
  </si>
  <si>
    <t>№88-2015г.</t>
  </si>
  <si>
    <t>№260-2015г.</t>
  </si>
  <si>
    <t>Гуляш из свинины</t>
  </si>
  <si>
    <t>№71-2015г.</t>
  </si>
  <si>
    <t>№15-2015г.</t>
  </si>
  <si>
    <t>Сыр "Российский" (порциями)</t>
  </si>
  <si>
    <t>Филе цыплёнка запечённое</t>
  </si>
  <si>
    <t>ТТК №18</t>
  </si>
  <si>
    <t>Булочка "Завитушка сахарная"</t>
  </si>
  <si>
    <t>ТТК №2</t>
  </si>
  <si>
    <t>№3-2015г.</t>
  </si>
  <si>
    <t>Бутерброд с сыром</t>
  </si>
  <si>
    <t>10/4/30</t>
  </si>
  <si>
    <t>№379-2015г.</t>
  </si>
  <si>
    <t>Кофейный напиток с молоком</t>
  </si>
  <si>
    <t>№338-2015г</t>
  </si>
  <si>
    <t>Фрукт свежий (яблоко)</t>
  </si>
  <si>
    <t>Щи из свежей капусты с картофелем с тушёнкой мясной и зеленью</t>
  </si>
  <si>
    <t>28/28</t>
  </si>
  <si>
    <t>Овощи натуральные свежие (помидоры)</t>
  </si>
  <si>
    <t>45/45</t>
  </si>
  <si>
    <t>№686-2004г.</t>
  </si>
  <si>
    <t>Чай с лимоном</t>
  </si>
  <si>
    <t>200/15/7</t>
  </si>
  <si>
    <t>№1-2015г.</t>
  </si>
  <si>
    <t>Бутерброд с маслом</t>
  </si>
  <si>
    <t>4/33,5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</si>
</sst>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2" fontId="1" fillId="0" borderId="7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2" fontId="1" fillId="0" borderId="2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23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8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2" fontId="1" fillId="0" borderId="22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2" fontId="1" fillId="0" borderId="23" xfId="0" applyNumberFormat="1" applyFont="1" applyBorder="1" applyAlignment="1">
      <alignment horizontal="right" vertical="center" wrapText="1"/>
    </xf>
    <xf numFmtId="2" fontId="2" fillId="0" borderId="2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1" fillId="0" borderId="0" xfId="0" applyFont="1"/>
    <xf numFmtId="2" fontId="5" fillId="0" borderId="7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/>
    <xf numFmtId="2" fontId="2" fillId="0" borderId="37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5" fillId="0" borderId="20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1" fillId="0" borderId="3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opLeftCell="A4" workbookViewId="0">
      <selection activeCell="B10" sqref="B10:J14"/>
    </sheetView>
  </sheetViews>
  <sheetFormatPr defaultRowHeight="15" x14ac:dyDescent="0.25"/>
  <cols>
    <col min="1" max="1" width="24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56" t="s">
        <v>22</v>
      </c>
      <c r="C1" s="57"/>
      <c r="D1" s="1" t="s">
        <v>1</v>
      </c>
      <c r="E1" s="2"/>
      <c r="F1" s="1" t="s">
        <v>2</v>
      </c>
      <c r="G1" s="58">
        <v>44459</v>
      </c>
      <c r="H1" s="59"/>
      <c r="I1" s="59"/>
      <c r="J1" s="59"/>
      <c r="K1" s="1"/>
      <c r="L1" s="1"/>
    </row>
    <row r="2" spans="1:12" ht="16.5" thickTop="1" thickBot="1" x14ac:dyDescent="0.3">
      <c r="A2" s="4" t="s">
        <v>3</v>
      </c>
      <c r="B2" s="8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9" t="s">
        <v>12</v>
      </c>
    </row>
    <row r="3" spans="1:12" s="42" customFormat="1" ht="15.75" thickTop="1" x14ac:dyDescent="0.25">
      <c r="A3" s="46" t="s">
        <v>27</v>
      </c>
      <c r="B3" s="18" t="s">
        <v>31</v>
      </c>
      <c r="C3" s="19" t="s">
        <v>53</v>
      </c>
      <c r="D3" s="19" t="s">
        <v>54</v>
      </c>
      <c r="E3" s="20">
        <v>12</v>
      </c>
      <c r="F3" s="20">
        <v>9.19</v>
      </c>
      <c r="G3" s="21">
        <f>3.6*12</f>
        <v>43.2</v>
      </c>
      <c r="H3" s="21">
        <f>6.96/30*12</f>
        <v>2.7840000000000003</v>
      </c>
      <c r="I3" s="21">
        <f>8.85/30*12</f>
        <v>3.54</v>
      </c>
      <c r="J3" s="22">
        <f>0</f>
        <v>0</v>
      </c>
    </row>
    <row r="4" spans="1:12" s="34" customFormat="1" x14ac:dyDescent="0.25">
      <c r="A4" s="47"/>
      <c r="B4" s="12" t="s">
        <v>13</v>
      </c>
      <c r="C4" s="75" t="s">
        <v>56</v>
      </c>
      <c r="D4" s="76" t="s">
        <v>55</v>
      </c>
      <c r="E4" s="23">
        <v>75</v>
      </c>
      <c r="F4" s="11">
        <v>47.3</v>
      </c>
      <c r="G4" s="77">
        <f>129.15*1.5</f>
        <v>193.72500000000002</v>
      </c>
      <c r="H4" s="77">
        <f>17.2*1.5</f>
        <v>25.799999999999997</v>
      </c>
      <c r="I4" s="77">
        <f>3.8*1.5</f>
        <v>5.6999999999999993</v>
      </c>
      <c r="J4" s="79">
        <f>6.6*1.5</f>
        <v>9.8999999999999986</v>
      </c>
    </row>
    <row r="5" spans="1:12" x14ac:dyDescent="0.25">
      <c r="A5" s="47"/>
      <c r="B5" s="12" t="s">
        <v>17</v>
      </c>
      <c r="C5" s="10" t="s">
        <v>44</v>
      </c>
      <c r="D5" s="10" t="s">
        <v>45</v>
      </c>
      <c r="E5" s="23">
        <v>100</v>
      </c>
      <c r="F5" s="11">
        <v>5.94</v>
      </c>
      <c r="G5" s="11">
        <f>1123*0.1</f>
        <v>112.30000000000001</v>
      </c>
      <c r="H5" s="11">
        <f>36.78*0.1</f>
        <v>3.6780000000000004</v>
      </c>
      <c r="I5" s="11">
        <f>30.1*0.1</f>
        <v>3.0100000000000002</v>
      </c>
      <c r="J5" s="13">
        <f>176.3*0.1</f>
        <v>17.630000000000003</v>
      </c>
    </row>
    <row r="6" spans="1:12" s="42" customFormat="1" x14ac:dyDescent="0.25">
      <c r="A6" s="47"/>
      <c r="B6" s="12" t="s">
        <v>18</v>
      </c>
      <c r="C6" s="10" t="s">
        <v>19</v>
      </c>
      <c r="D6" s="10" t="s">
        <v>20</v>
      </c>
      <c r="E6" s="23" t="s">
        <v>34</v>
      </c>
      <c r="F6" s="11">
        <v>2.58</v>
      </c>
      <c r="G6" s="11">
        <v>60</v>
      </c>
      <c r="H6" s="11">
        <v>7.0000000000000007E-2</v>
      </c>
      <c r="I6" s="11">
        <v>0.02</v>
      </c>
      <c r="J6" s="13">
        <v>15</v>
      </c>
      <c r="K6"/>
    </row>
    <row r="7" spans="1:12" x14ac:dyDescent="0.25">
      <c r="A7" s="47"/>
      <c r="B7" s="12" t="s">
        <v>21</v>
      </c>
      <c r="C7" s="75" t="s">
        <v>58</v>
      </c>
      <c r="D7" s="10" t="s">
        <v>57</v>
      </c>
      <c r="E7" s="23">
        <v>50</v>
      </c>
      <c r="F7" s="11">
        <v>3.92</v>
      </c>
      <c r="G7" s="78">
        <f>170.8</f>
        <v>170.8</v>
      </c>
      <c r="H7" s="78">
        <f>3.6</f>
        <v>3.6</v>
      </c>
      <c r="I7" s="78">
        <f>4.5</f>
        <v>4.5</v>
      </c>
      <c r="J7" s="80">
        <f>29</f>
        <v>29</v>
      </c>
    </row>
    <row r="8" spans="1:12" s="34" customFormat="1" ht="15.75" thickBot="1" x14ac:dyDescent="0.3">
      <c r="A8" s="47"/>
      <c r="B8" s="14" t="s">
        <v>14</v>
      </c>
      <c r="C8" s="15" t="s">
        <v>32</v>
      </c>
      <c r="D8" s="15" t="s">
        <v>33</v>
      </c>
      <c r="E8" s="24">
        <v>17</v>
      </c>
      <c r="F8" s="25">
        <v>0.56999999999999995</v>
      </c>
      <c r="G8" s="25">
        <f>229.7*0.17</f>
        <v>39.048999999999999</v>
      </c>
      <c r="H8" s="16">
        <f>6.7*0.17</f>
        <v>1.139</v>
      </c>
      <c r="I8" s="16">
        <f>1.1*0.17</f>
        <v>0.18700000000000003</v>
      </c>
      <c r="J8" s="17">
        <f>48.3*0.17</f>
        <v>8.2110000000000003</v>
      </c>
    </row>
    <row r="9" spans="1:12" ht="16.5" thickBot="1" x14ac:dyDescent="0.3">
      <c r="A9" s="50" t="s">
        <v>15</v>
      </c>
      <c r="B9" s="63"/>
      <c r="C9" s="63"/>
      <c r="D9" s="63"/>
      <c r="E9" s="64"/>
      <c r="F9" s="26">
        <f>SUM(F3:F8)</f>
        <v>69.499999999999986</v>
      </c>
      <c r="G9" s="26">
        <f t="shared" ref="G9:J9" si="0">SUM(G3:G8)</f>
        <v>619.07400000000007</v>
      </c>
      <c r="H9" s="26">
        <f t="shared" si="0"/>
        <v>37.070999999999998</v>
      </c>
      <c r="I9" s="26">
        <f t="shared" si="0"/>
        <v>16.956999999999997</v>
      </c>
      <c r="J9" s="26">
        <f t="shared" si="0"/>
        <v>79.741</v>
      </c>
    </row>
    <row r="10" spans="1:12" ht="30" x14ac:dyDescent="0.25">
      <c r="A10" s="48" t="s">
        <v>28</v>
      </c>
      <c r="B10" s="27" t="s">
        <v>16</v>
      </c>
      <c r="C10" s="28" t="s">
        <v>49</v>
      </c>
      <c r="D10" s="28" t="s">
        <v>66</v>
      </c>
      <c r="E10" s="20" t="s">
        <v>35</v>
      </c>
      <c r="F10" s="21">
        <v>11.84</v>
      </c>
      <c r="G10" s="21">
        <f>359*0.25+220*0.1</f>
        <v>111.75</v>
      </c>
      <c r="H10" s="21">
        <f>7.06*0.25+16.8*0.1</f>
        <v>3.4450000000000003</v>
      </c>
      <c r="I10" s="21">
        <f>19.8*0.25+17*0.1</f>
        <v>6.65</v>
      </c>
      <c r="J10" s="22">
        <f>31.61*0.25+0.2*0.1</f>
        <v>7.9224999999999994</v>
      </c>
      <c r="K10"/>
    </row>
    <row r="11" spans="1:12" x14ac:dyDescent="0.25">
      <c r="A11" s="49"/>
      <c r="B11" s="12" t="s">
        <v>13</v>
      </c>
      <c r="C11" s="10" t="s">
        <v>50</v>
      </c>
      <c r="D11" s="10" t="s">
        <v>51</v>
      </c>
      <c r="E11" s="23" t="s">
        <v>67</v>
      </c>
      <c r="F11" s="11">
        <v>22.91</v>
      </c>
      <c r="G11" s="35">
        <f>309*0.56</f>
        <v>173.04000000000002</v>
      </c>
      <c r="H11" s="35">
        <f>10.64*0.56</f>
        <v>5.958400000000001</v>
      </c>
      <c r="I11" s="35">
        <f>28.19*0.56</f>
        <v>15.786400000000002</v>
      </c>
      <c r="J11" s="36">
        <f>2.89*0.56</f>
        <v>1.6184000000000003</v>
      </c>
      <c r="K11"/>
    </row>
    <row r="12" spans="1:12" s="34" customFormat="1" x14ac:dyDescent="0.25">
      <c r="A12" s="49"/>
      <c r="B12" s="12" t="s">
        <v>17</v>
      </c>
      <c r="C12" s="10" t="s">
        <v>47</v>
      </c>
      <c r="D12" s="10" t="s">
        <v>48</v>
      </c>
      <c r="E12" s="23">
        <v>100</v>
      </c>
      <c r="F12" s="11">
        <v>6.72</v>
      </c>
      <c r="G12" s="11">
        <f>1398*0.1</f>
        <v>139.80000000000001</v>
      </c>
      <c r="H12" s="11">
        <f>24.34*0.1</f>
        <v>2.4340000000000002</v>
      </c>
      <c r="I12" s="11">
        <f>35.83*0.1</f>
        <v>3.5830000000000002</v>
      </c>
      <c r="J12" s="13">
        <f>244.56*0.1</f>
        <v>24.456000000000003</v>
      </c>
    </row>
    <row r="13" spans="1:12" x14ac:dyDescent="0.25">
      <c r="A13" s="49"/>
      <c r="B13" s="12" t="s">
        <v>18</v>
      </c>
      <c r="C13" s="10" t="s">
        <v>19</v>
      </c>
      <c r="D13" s="10" t="s">
        <v>20</v>
      </c>
      <c r="E13" s="23" t="s">
        <v>34</v>
      </c>
      <c r="F13" s="11">
        <v>2.58</v>
      </c>
      <c r="G13" s="11">
        <v>60</v>
      </c>
      <c r="H13" s="11">
        <v>7.0000000000000007E-2</v>
      </c>
      <c r="I13" s="11">
        <v>0.02</v>
      </c>
      <c r="J13" s="13">
        <v>15</v>
      </c>
      <c r="K13"/>
    </row>
    <row r="14" spans="1:12" ht="15.75" thickBot="1" x14ac:dyDescent="0.3">
      <c r="A14" s="49"/>
      <c r="B14" s="14" t="s">
        <v>14</v>
      </c>
      <c r="C14" s="15" t="s">
        <v>32</v>
      </c>
      <c r="D14" s="15" t="s">
        <v>33</v>
      </c>
      <c r="E14" s="24">
        <v>28</v>
      </c>
      <c r="F14" s="25">
        <v>0.95</v>
      </c>
      <c r="G14" s="25">
        <f>229.7*0.28</f>
        <v>64.316000000000003</v>
      </c>
      <c r="H14" s="16">
        <f>6.7*0.28</f>
        <v>1.8760000000000003</v>
      </c>
      <c r="I14" s="16">
        <f>1.1*0.28</f>
        <v>0.30800000000000005</v>
      </c>
      <c r="J14" s="17">
        <f>48.3*0.28</f>
        <v>13.524000000000001</v>
      </c>
    </row>
    <row r="15" spans="1:12" ht="16.5" thickBot="1" x14ac:dyDescent="0.3">
      <c r="A15" s="65" t="s">
        <v>15</v>
      </c>
      <c r="B15" s="66"/>
      <c r="C15" s="66"/>
      <c r="D15" s="66"/>
      <c r="E15" s="67"/>
      <c r="F15" s="43">
        <f>SUM(F10:F14)</f>
        <v>45</v>
      </c>
      <c r="G15" s="43">
        <f t="shared" ref="G15:J15" si="1">SUM(G10:G14)</f>
        <v>548.90600000000006</v>
      </c>
      <c r="H15" s="43">
        <f t="shared" si="1"/>
        <v>13.783400000000004</v>
      </c>
      <c r="I15" s="43">
        <f t="shared" si="1"/>
        <v>26.347400000000004</v>
      </c>
      <c r="J15" s="43">
        <f t="shared" si="1"/>
        <v>62.520900000000005</v>
      </c>
    </row>
    <row r="16" spans="1:12" s="34" customFormat="1" ht="15.75" x14ac:dyDescent="0.25">
      <c r="A16" s="53" t="s">
        <v>29</v>
      </c>
      <c r="B16" s="44" t="s">
        <v>31</v>
      </c>
      <c r="C16" s="19" t="s">
        <v>52</v>
      </c>
      <c r="D16" s="19" t="s">
        <v>68</v>
      </c>
      <c r="E16" s="20">
        <v>20</v>
      </c>
      <c r="F16" s="21">
        <v>1.6</v>
      </c>
      <c r="G16" s="21">
        <f>11*0.4</f>
        <v>4.4000000000000004</v>
      </c>
      <c r="H16" s="21">
        <f>0.55*0.4</f>
        <v>0.22000000000000003</v>
      </c>
      <c r="I16" s="21">
        <f>0.1*0.4</f>
        <v>4.0000000000000008E-2</v>
      </c>
      <c r="J16" s="22">
        <f>1.9*0.4</f>
        <v>0.76</v>
      </c>
    </row>
    <row r="17" spans="1:11" s="42" customFormat="1" ht="30" x14ac:dyDescent="0.25">
      <c r="A17" s="54"/>
      <c r="B17" s="12" t="s">
        <v>16</v>
      </c>
      <c r="C17" s="10" t="s">
        <v>49</v>
      </c>
      <c r="D17" s="10" t="s">
        <v>66</v>
      </c>
      <c r="E17" s="23" t="s">
        <v>35</v>
      </c>
      <c r="F17" s="11">
        <v>11.84</v>
      </c>
      <c r="G17" s="11">
        <f>359*0.25+220*0.1</f>
        <v>111.75</v>
      </c>
      <c r="H17" s="11">
        <f>7.06*0.25+16.8*0.1</f>
        <v>3.4450000000000003</v>
      </c>
      <c r="I17" s="11">
        <f>19.8*0.25+17*0.1</f>
        <v>6.65</v>
      </c>
      <c r="J17" s="13">
        <f>31.61*0.25+0.2*0.1</f>
        <v>7.9224999999999994</v>
      </c>
      <c r="K17"/>
    </row>
    <row r="18" spans="1:11" s="34" customFormat="1" x14ac:dyDescent="0.25">
      <c r="A18" s="54"/>
      <c r="B18" s="12" t="s">
        <v>13</v>
      </c>
      <c r="C18" s="10" t="s">
        <v>50</v>
      </c>
      <c r="D18" s="10" t="s">
        <v>51</v>
      </c>
      <c r="E18" s="23" t="s">
        <v>69</v>
      </c>
      <c r="F18" s="11">
        <v>36.82</v>
      </c>
      <c r="G18" s="35">
        <f>309*0.9</f>
        <v>278.10000000000002</v>
      </c>
      <c r="H18" s="35">
        <f>10.64*0.9</f>
        <v>9.5760000000000005</v>
      </c>
      <c r="I18" s="35">
        <f>28.19*0.9</f>
        <v>25.371000000000002</v>
      </c>
      <c r="J18" s="36">
        <f>2.89*0.9</f>
        <v>2.601</v>
      </c>
      <c r="K18"/>
    </row>
    <row r="19" spans="1:11" s="34" customFormat="1" x14ac:dyDescent="0.25">
      <c r="A19" s="54"/>
      <c r="B19" s="12" t="s">
        <v>17</v>
      </c>
      <c r="C19" s="10" t="s">
        <v>47</v>
      </c>
      <c r="D19" s="10" t="s">
        <v>48</v>
      </c>
      <c r="E19" s="23">
        <v>150</v>
      </c>
      <c r="F19" s="11">
        <v>10.08</v>
      </c>
      <c r="G19" s="11">
        <f>1398*0.15</f>
        <v>209.7</v>
      </c>
      <c r="H19" s="11">
        <f>24.34*0.15</f>
        <v>3.6509999999999998</v>
      </c>
      <c r="I19" s="11">
        <f>35.83*0.15</f>
        <v>5.3744999999999994</v>
      </c>
      <c r="J19" s="13">
        <f>244.56*0.15</f>
        <v>36.683999999999997</v>
      </c>
    </row>
    <row r="20" spans="1:11" s="42" customFormat="1" x14ac:dyDescent="0.25">
      <c r="A20" s="54"/>
      <c r="B20" s="12" t="s">
        <v>41</v>
      </c>
      <c r="C20" s="10" t="s">
        <v>42</v>
      </c>
      <c r="D20" s="10" t="s">
        <v>43</v>
      </c>
      <c r="E20" s="23">
        <v>200</v>
      </c>
      <c r="F20" s="11">
        <v>8.25</v>
      </c>
      <c r="G20" s="11">
        <v>111</v>
      </c>
      <c r="H20" s="35">
        <v>0.7</v>
      </c>
      <c r="I20" s="35">
        <v>0</v>
      </c>
      <c r="J20" s="36">
        <v>27</v>
      </c>
      <c r="K20"/>
    </row>
    <row r="21" spans="1:11" s="42" customFormat="1" ht="15.75" thickBot="1" x14ac:dyDescent="0.3">
      <c r="A21" s="55"/>
      <c r="B21" s="14" t="s">
        <v>14</v>
      </c>
      <c r="C21" s="15" t="s">
        <v>32</v>
      </c>
      <c r="D21" s="15" t="s">
        <v>33</v>
      </c>
      <c r="E21" s="24">
        <v>33</v>
      </c>
      <c r="F21" s="25">
        <v>0.91</v>
      </c>
      <c r="G21" s="25">
        <f>229.7*0.33</f>
        <v>75.801000000000002</v>
      </c>
      <c r="H21" s="16">
        <f>6.7*0.33</f>
        <v>2.2110000000000003</v>
      </c>
      <c r="I21" s="16">
        <f>1.1*0.33</f>
        <v>0.36300000000000004</v>
      </c>
      <c r="J21" s="17">
        <f>48.3*0.33</f>
        <v>15.939</v>
      </c>
    </row>
    <row r="22" spans="1:11" ht="16.5" thickBot="1" x14ac:dyDescent="0.3">
      <c r="A22" s="50" t="s">
        <v>15</v>
      </c>
      <c r="B22" s="63"/>
      <c r="C22" s="63"/>
      <c r="D22" s="63"/>
      <c r="E22" s="64"/>
      <c r="F22" s="26">
        <f>SUM(F16:F21)</f>
        <v>69.5</v>
      </c>
      <c r="G22" s="26">
        <f t="shared" ref="G22:J22" si="2">SUM(G16:G21)</f>
        <v>790.75100000000009</v>
      </c>
      <c r="H22" s="26">
        <f t="shared" si="2"/>
        <v>19.803000000000004</v>
      </c>
      <c r="I22" s="26">
        <f t="shared" si="2"/>
        <v>37.798499999999997</v>
      </c>
      <c r="J22" s="26">
        <f t="shared" si="2"/>
        <v>90.906499999999994</v>
      </c>
      <c r="K22"/>
    </row>
    <row r="23" spans="1:11" s="42" customFormat="1" ht="15.75" x14ac:dyDescent="0.25">
      <c r="A23" s="48" t="s">
        <v>30</v>
      </c>
      <c r="B23" s="27" t="s">
        <v>31</v>
      </c>
      <c r="C23" s="28" t="s">
        <v>59</v>
      </c>
      <c r="D23" s="28" t="s">
        <v>60</v>
      </c>
      <c r="E23" s="81" t="s">
        <v>61</v>
      </c>
      <c r="F23" s="82">
        <v>14.84</v>
      </c>
      <c r="G23" s="83">
        <f>360*0.1+660*0.04+280*0.3</f>
        <v>146.4</v>
      </c>
      <c r="H23" s="83">
        <f>23.2*0.1+0.8*0.04+8*0.3</f>
        <v>4.7519999999999998</v>
      </c>
      <c r="I23" s="83">
        <f>29.5*0.1+72.5*0.04+3*0.3</f>
        <v>6.75</v>
      </c>
      <c r="J23" s="84">
        <f>0+1.3*0.04+54*0.3</f>
        <v>16.251999999999999</v>
      </c>
    </row>
    <row r="24" spans="1:11" s="42" customFormat="1" x14ac:dyDescent="0.25">
      <c r="A24" s="49"/>
      <c r="B24" s="12" t="s">
        <v>18</v>
      </c>
      <c r="C24" s="10" t="s">
        <v>62</v>
      </c>
      <c r="D24" s="10" t="s">
        <v>63</v>
      </c>
      <c r="E24" s="23">
        <v>200</v>
      </c>
      <c r="F24" s="11">
        <v>7.64</v>
      </c>
      <c r="G24" s="11">
        <f>503*0.2</f>
        <v>100.60000000000001</v>
      </c>
      <c r="H24" s="11">
        <f>15.83*0.2</f>
        <v>3.1660000000000004</v>
      </c>
      <c r="I24" s="11">
        <f>13.39*0.2</f>
        <v>2.6780000000000004</v>
      </c>
      <c r="J24" s="13">
        <f>79.73*0.2</f>
        <v>15.946000000000002</v>
      </c>
    </row>
    <row r="25" spans="1:11" s="42" customFormat="1" ht="15.75" thickBot="1" x14ac:dyDescent="0.3">
      <c r="A25" s="85"/>
      <c r="B25" s="14" t="s">
        <v>46</v>
      </c>
      <c r="C25" s="15" t="s">
        <v>64</v>
      </c>
      <c r="D25" s="15" t="s">
        <v>65</v>
      </c>
      <c r="E25" s="15">
        <v>185</v>
      </c>
      <c r="F25" s="16">
        <v>22.52</v>
      </c>
      <c r="G25" s="16">
        <f>47*1.85</f>
        <v>86.95</v>
      </c>
      <c r="H25" s="16">
        <f>0.4*1.85</f>
        <v>0.7400000000000001</v>
      </c>
      <c r="I25" s="16">
        <f>0.4*1.85</f>
        <v>0.7400000000000001</v>
      </c>
      <c r="J25" s="17">
        <f>9.8*1.85</f>
        <v>18.130000000000003</v>
      </c>
    </row>
    <row r="26" spans="1:11" ht="16.5" thickBot="1" x14ac:dyDescent="0.3">
      <c r="A26" s="50" t="s">
        <v>15</v>
      </c>
      <c r="B26" s="51"/>
      <c r="C26" s="51"/>
      <c r="D26" s="51"/>
      <c r="E26" s="52"/>
      <c r="F26" s="5">
        <f>SUM(F23:F25)</f>
        <v>45</v>
      </c>
      <c r="G26" s="5">
        <f t="shared" ref="G26:J26" si="3">SUM(G23:G25)</f>
        <v>333.95</v>
      </c>
      <c r="H26" s="5">
        <f t="shared" si="3"/>
        <v>8.6579999999999995</v>
      </c>
      <c r="I26" s="5">
        <f t="shared" si="3"/>
        <v>10.168000000000001</v>
      </c>
      <c r="J26" s="5">
        <f t="shared" si="3"/>
        <v>50.328000000000003</v>
      </c>
      <c r="K26"/>
    </row>
    <row r="28" spans="1:11" ht="15.75" thickBot="1" x14ac:dyDescent="0.3">
      <c r="A28" s="61" t="s">
        <v>25</v>
      </c>
      <c r="B28" s="61"/>
      <c r="C28" s="61"/>
      <c r="D28" s="61"/>
      <c r="E28" s="61"/>
      <c r="F28" s="61"/>
      <c r="G28" s="61"/>
      <c r="H28" s="61"/>
      <c r="I28" s="61"/>
      <c r="J28" s="61"/>
    </row>
    <row r="29" spans="1:11" ht="15.75" x14ac:dyDescent="0.25">
      <c r="A29" s="31"/>
      <c r="B29" s="31"/>
      <c r="C29" s="60" t="s">
        <v>23</v>
      </c>
      <c r="D29" s="60"/>
      <c r="G29" s="62"/>
      <c r="H29" s="62"/>
      <c r="I29" s="62"/>
      <c r="J29" s="62"/>
    </row>
    <row r="30" spans="1:11" x14ac:dyDescent="0.25">
      <c r="A30" s="1"/>
      <c r="B30" s="1"/>
      <c r="C30" s="1"/>
      <c r="D30" s="1"/>
    </row>
    <row r="31" spans="1:11" x14ac:dyDescent="0.25">
      <c r="A31" s="45" t="s">
        <v>24</v>
      </c>
      <c r="B31" s="45"/>
    </row>
    <row r="32" spans="1:11" x14ac:dyDescent="0.25">
      <c r="A32" s="45" t="s">
        <v>26</v>
      </c>
      <c r="B32" s="45"/>
    </row>
    <row r="33" spans="1:1" x14ac:dyDescent="0.25">
      <c r="A33" s="6"/>
    </row>
  </sheetData>
  <mergeCells count="15">
    <mergeCell ref="B1:C1"/>
    <mergeCell ref="G1:J1"/>
    <mergeCell ref="C29:D29"/>
    <mergeCell ref="A28:J28"/>
    <mergeCell ref="G29:J29"/>
    <mergeCell ref="A9:E9"/>
    <mergeCell ref="A10:A14"/>
    <mergeCell ref="A15:E15"/>
    <mergeCell ref="A22:E22"/>
    <mergeCell ref="A31:B31"/>
    <mergeCell ref="A32:B32"/>
    <mergeCell ref="A3:A8"/>
    <mergeCell ref="A23:A25"/>
    <mergeCell ref="A26:E26"/>
    <mergeCell ref="A16:A2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59C2-9B1A-44EA-93AC-D64E750D8022}">
  <dimension ref="A1:L35"/>
  <sheetViews>
    <sheetView tabSelected="1" topLeftCell="A10" workbookViewId="0">
      <selection activeCell="F22" sqref="F22:J22"/>
    </sheetView>
  </sheetViews>
  <sheetFormatPr defaultRowHeight="15" x14ac:dyDescent="0.25"/>
  <cols>
    <col min="1" max="1" width="39.42578125" style="3" customWidth="1"/>
    <col min="2" max="2" width="24.7109375" style="3" customWidth="1"/>
    <col min="3" max="3" width="12.28515625" style="3" customWidth="1"/>
    <col min="4" max="4" width="46.28515625" style="3" customWidth="1"/>
    <col min="5" max="5" width="10.140625" style="3" bestFit="1" customWidth="1"/>
    <col min="6" max="6" width="9.140625" style="3"/>
    <col min="7" max="7" width="18.140625" style="3" customWidth="1"/>
    <col min="8" max="8" width="11.42578125" style="3" bestFit="1" customWidth="1"/>
    <col min="9" max="9" width="9.140625" style="3"/>
    <col min="10" max="10" width="10.85546875" style="3" customWidth="1"/>
    <col min="11" max="16384" width="9.140625" style="3"/>
  </cols>
  <sheetData>
    <row r="1" spans="1:12" ht="15.75" thickBot="1" x14ac:dyDescent="0.3">
      <c r="A1" s="1" t="s">
        <v>0</v>
      </c>
      <c r="B1" s="71" t="s">
        <v>22</v>
      </c>
      <c r="C1" s="72"/>
      <c r="D1" s="1" t="s">
        <v>1</v>
      </c>
      <c r="E1" s="38"/>
      <c r="F1" s="1" t="s">
        <v>2</v>
      </c>
      <c r="G1" s="73">
        <v>44459</v>
      </c>
      <c r="H1" s="74"/>
      <c r="I1" s="74"/>
      <c r="J1" s="74"/>
      <c r="K1" s="1"/>
      <c r="L1" s="1"/>
    </row>
    <row r="2" spans="1:12" ht="16.5" thickTop="1" thickBot="1" x14ac:dyDescent="0.3">
      <c r="A2" s="37" t="s">
        <v>3</v>
      </c>
      <c r="B2" s="39" t="s">
        <v>4</v>
      </c>
      <c r="C2" s="40" t="s">
        <v>5</v>
      </c>
      <c r="D2" s="40" t="s">
        <v>6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1" t="s">
        <v>12</v>
      </c>
    </row>
    <row r="3" spans="1:12" s="42" customFormat="1" ht="15.75" thickTop="1" x14ac:dyDescent="0.25">
      <c r="A3" s="46" t="s">
        <v>36</v>
      </c>
      <c r="B3" s="18" t="s">
        <v>31</v>
      </c>
      <c r="C3" s="19" t="s">
        <v>53</v>
      </c>
      <c r="D3" s="19" t="s">
        <v>54</v>
      </c>
      <c r="E3" s="20">
        <v>25</v>
      </c>
      <c r="F3" s="20">
        <v>19.899999999999999</v>
      </c>
      <c r="G3" s="21">
        <f>3.6*25</f>
        <v>90</v>
      </c>
      <c r="H3" s="21">
        <f>6.96/30*25</f>
        <v>5.8000000000000007</v>
      </c>
      <c r="I3" s="21">
        <f>8.85/30*25</f>
        <v>7.375</v>
      </c>
      <c r="J3" s="22">
        <f>0</f>
        <v>0</v>
      </c>
    </row>
    <row r="4" spans="1:12" s="42" customFormat="1" x14ac:dyDescent="0.25">
      <c r="A4" s="47"/>
      <c r="B4" s="12" t="s">
        <v>13</v>
      </c>
      <c r="C4" s="75" t="s">
        <v>56</v>
      </c>
      <c r="D4" s="76" t="s">
        <v>55</v>
      </c>
      <c r="E4" s="23">
        <v>50</v>
      </c>
      <c r="F4" s="11">
        <v>31.53</v>
      </c>
      <c r="G4" s="77">
        <f>129.15</f>
        <v>129.15</v>
      </c>
      <c r="H4" s="77">
        <f>17.2*1</f>
        <v>17.2</v>
      </c>
      <c r="I4" s="77">
        <f>3.8*1</f>
        <v>3.8</v>
      </c>
      <c r="J4" s="79">
        <f>6.6*1</f>
        <v>6.6</v>
      </c>
    </row>
    <row r="5" spans="1:12" s="42" customFormat="1" x14ac:dyDescent="0.25">
      <c r="A5" s="47"/>
      <c r="B5" s="12" t="s">
        <v>17</v>
      </c>
      <c r="C5" s="10" t="s">
        <v>44</v>
      </c>
      <c r="D5" s="10" t="s">
        <v>45</v>
      </c>
      <c r="E5" s="23">
        <v>120</v>
      </c>
      <c r="F5" s="11">
        <v>7.13</v>
      </c>
      <c r="G5" s="11">
        <f>1123*0.12</f>
        <v>134.76</v>
      </c>
      <c r="H5" s="11">
        <f>36.78*0.12</f>
        <v>4.4135999999999997</v>
      </c>
      <c r="I5" s="11">
        <f>30.1*0.12</f>
        <v>3.6120000000000001</v>
      </c>
      <c r="J5" s="13">
        <f>176.3*0.12</f>
        <v>21.155999999999999</v>
      </c>
    </row>
    <row r="6" spans="1:12" s="42" customFormat="1" x14ac:dyDescent="0.25">
      <c r="A6" s="47"/>
      <c r="B6" s="12" t="s">
        <v>18</v>
      </c>
      <c r="C6" s="10" t="s">
        <v>70</v>
      </c>
      <c r="D6" s="10" t="s">
        <v>71</v>
      </c>
      <c r="E6" s="23" t="s">
        <v>72</v>
      </c>
      <c r="F6" s="11">
        <v>5.51</v>
      </c>
      <c r="G6" s="11">
        <v>62</v>
      </c>
      <c r="H6" s="11">
        <v>0.13</v>
      </c>
      <c r="I6" s="11">
        <v>0.02</v>
      </c>
      <c r="J6" s="13">
        <v>15.2</v>
      </c>
    </row>
    <row r="7" spans="1:12" s="42" customFormat="1" x14ac:dyDescent="0.25">
      <c r="A7" s="47"/>
      <c r="B7" s="12" t="s">
        <v>21</v>
      </c>
      <c r="C7" s="75" t="s">
        <v>58</v>
      </c>
      <c r="D7" s="10" t="s">
        <v>57</v>
      </c>
      <c r="E7" s="23">
        <v>50</v>
      </c>
      <c r="F7" s="11">
        <v>3.92</v>
      </c>
      <c r="G7" s="78">
        <f>170.8</f>
        <v>170.8</v>
      </c>
      <c r="H7" s="78">
        <f>3.6</f>
        <v>3.6</v>
      </c>
      <c r="I7" s="78">
        <f>4.5</f>
        <v>4.5</v>
      </c>
      <c r="J7" s="80">
        <f>29</f>
        <v>29</v>
      </c>
    </row>
    <row r="8" spans="1:12" s="42" customFormat="1" ht="15.75" thickBot="1" x14ac:dyDescent="0.3">
      <c r="A8" s="47"/>
      <c r="B8" s="14" t="s">
        <v>14</v>
      </c>
      <c r="C8" s="15" t="s">
        <v>32</v>
      </c>
      <c r="D8" s="15" t="s">
        <v>33</v>
      </c>
      <c r="E8" s="24">
        <v>44.5</v>
      </c>
      <c r="F8" s="25">
        <v>1.51</v>
      </c>
      <c r="G8" s="25">
        <f>229.7*0.445</f>
        <v>102.2165</v>
      </c>
      <c r="H8" s="16">
        <f>6.7*0.445</f>
        <v>2.9815</v>
      </c>
      <c r="I8" s="16">
        <f>1.1*0.445</f>
        <v>0.48950000000000005</v>
      </c>
      <c r="J8" s="17">
        <f>48.3*0.445</f>
        <v>21.493499999999997</v>
      </c>
    </row>
    <row r="9" spans="1:12" ht="16.5" thickBot="1" x14ac:dyDescent="0.3">
      <c r="A9" s="50" t="s">
        <v>15</v>
      </c>
      <c r="B9" s="63"/>
      <c r="C9" s="63"/>
      <c r="D9" s="63"/>
      <c r="E9" s="64"/>
      <c r="F9" s="26">
        <f>SUM(F3:F8)</f>
        <v>69.500000000000014</v>
      </c>
      <c r="G9" s="26">
        <f t="shared" ref="G9:J9" si="0">SUM(G3:G8)</f>
        <v>688.92650000000003</v>
      </c>
      <c r="H9" s="26">
        <f t="shared" si="0"/>
        <v>34.125099999999996</v>
      </c>
      <c r="I9" s="26">
        <f t="shared" si="0"/>
        <v>19.796500000000002</v>
      </c>
      <c r="J9" s="26">
        <f t="shared" si="0"/>
        <v>93.4495</v>
      </c>
    </row>
    <row r="10" spans="1:12" s="42" customFormat="1" ht="16.5" thickTop="1" x14ac:dyDescent="0.25">
      <c r="A10" s="46" t="s">
        <v>37</v>
      </c>
      <c r="B10" s="27" t="s">
        <v>31</v>
      </c>
      <c r="C10" s="28" t="s">
        <v>59</v>
      </c>
      <c r="D10" s="28" t="s">
        <v>60</v>
      </c>
      <c r="E10" s="81" t="s">
        <v>61</v>
      </c>
      <c r="F10" s="82">
        <v>14.84</v>
      </c>
      <c r="G10" s="83">
        <f>360*0.1+660*0.04+280*0.3</f>
        <v>146.4</v>
      </c>
      <c r="H10" s="83">
        <f>23.2*0.1+0.8*0.04+8*0.3</f>
        <v>4.7519999999999998</v>
      </c>
      <c r="I10" s="83">
        <f>29.5*0.1+72.5*0.04+3*0.3</f>
        <v>6.75</v>
      </c>
      <c r="J10" s="84">
        <f>0+1.3*0.04+54*0.3</f>
        <v>16.251999999999999</v>
      </c>
    </row>
    <row r="11" spans="1:12" s="34" customFormat="1" x14ac:dyDescent="0.25">
      <c r="A11" s="47"/>
      <c r="B11" s="12" t="s">
        <v>17</v>
      </c>
      <c r="C11" s="10" t="s">
        <v>44</v>
      </c>
      <c r="D11" s="10" t="s">
        <v>45</v>
      </c>
      <c r="E11" s="23">
        <v>162</v>
      </c>
      <c r="F11" s="11">
        <v>9.58</v>
      </c>
      <c r="G11" s="11">
        <f>1123*0.162</f>
        <v>181.92600000000002</v>
      </c>
      <c r="H11" s="11">
        <f>36.78*0.162</f>
        <v>5.9583600000000008</v>
      </c>
      <c r="I11" s="11">
        <f>30.1*0.162</f>
        <v>4.8762000000000008</v>
      </c>
      <c r="J11" s="13">
        <f>176.3*0.162</f>
        <v>28.560600000000004</v>
      </c>
    </row>
    <row r="12" spans="1:12" s="42" customFormat="1" ht="15.75" thickBot="1" x14ac:dyDescent="0.3">
      <c r="A12" s="47"/>
      <c r="B12" s="14" t="s">
        <v>18</v>
      </c>
      <c r="C12" s="15" t="s">
        <v>19</v>
      </c>
      <c r="D12" s="15" t="s">
        <v>20</v>
      </c>
      <c r="E12" s="24" t="s">
        <v>34</v>
      </c>
      <c r="F12" s="25">
        <v>2.58</v>
      </c>
      <c r="G12" s="25">
        <v>60</v>
      </c>
      <c r="H12" s="25">
        <v>7.0000000000000007E-2</v>
      </c>
      <c r="I12" s="25">
        <v>0.02</v>
      </c>
      <c r="J12" s="29">
        <v>15</v>
      </c>
    </row>
    <row r="13" spans="1:12" ht="16.5" thickBot="1" x14ac:dyDescent="0.3">
      <c r="A13" s="50" t="s">
        <v>15</v>
      </c>
      <c r="B13" s="63"/>
      <c r="C13" s="63"/>
      <c r="D13" s="63"/>
      <c r="E13" s="64"/>
      <c r="F13" s="26">
        <f>SUM(F10:F12)</f>
        <v>27</v>
      </c>
      <c r="G13" s="26">
        <f t="shared" ref="G13:J13" si="1">SUM(G10:G12)</f>
        <v>388.32600000000002</v>
      </c>
      <c r="H13" s="26">
        <f t="shared" si="1"/>
        <v>10.780360000000002</v>
      </c>
      <c r="I13" s="26">
        <f t="shared" si="1"/>
        <v>11.6462</v>
      </c>
      <c r="J13" s="26">
        <f t="shared" si="1"/>
        <v>59.812600000000003</v>
      </c>
    </row>
    <row r="14" spans="1:12" s="42" customFormat="1" ht="15.75" thickTop="1" x14ac:dyDescent="0.25">
      <c r="A14" s="46" t="s">
        <v>39</v>
      </c>
      <c r="B14" s="18" t="s">
        <v>31</v>
      </c>
      <c r="C14" s="19" t="s">
        <v>73</v>
      </c>
      <c r="D14" s="19" t="s">
        <v>74</v>
      </c>
      <c r="E14" s="81" t="s">
        <v>75</v>
      </c>
      <c r="F14" s="20">
        <v>4.46</v>
      </c>
      <c r="G14" s="32">
        <f>660*0.04+280*0.335</f>
        <v>120.20000000000002</v>
      </c>
      <c r="H14" s="32">
        <f>0.8*0.04+8*0.335</f>
        <v>2.7120000000000002</v>
      </c>
      <c r="I14" s="32">
        <f>72.5*0.04+3*0.335</f>
        <v>3.9050000000000002</v>
      </c>
      <c r="J14" s="33">
        <f>1.3*0.04+54*0.335</f>
        <v>18.141999999999999</v>
      </c>
    </row>
    <row r="15" spans="1:12" s="42" customFormat="1" ht="15.75" thickBot="1" x14ac:dyDescent="0.3">
      <c r="A15" s="47"/>
      <c r="B15" s="14" t="s">
        <v>18</v>
      </c>
      <c r="C15" s="15" t="s">
        <v>19</v>
      </c>
      <c r="D15" s="15" t="s">
        <v>20</v>
      </c>
      <c r="E15" s="24" t="s">
        <v>34</v>
      </c>
      <c r="F15" s="25">
        <v>2.54</v>
      </c>
      <c r="G15" s="25">
        <v>60</v>
      </c>
      <c r="H15" s="25">
        <v>7.0000000000000007E-2</v>
      </c>
      <c r="I15" s="25">
        <v>0.02</v>
      </c>
      <c r="J15" s="29">
        <v>15</v>
      </c>
    </row>
    <row r="16" spans="1:12" ht="16.5" thickBot="1" x14ac:dyDescent="0.3">
      <c r="A16" s="50" t="s">
        <v>15</v>
      </c>
      <c r="B16" s="63"/>
      <c r="C16" s="63"/>
      <c r="D16" s="63"/>
      <c r="E16" s="64"/>
      <c r="F16" s="26">
        <f>SUM(F14:F15)</f>
        <v>7</v>
      </c>
      <c r="G16" s="26">
        <f t="shared" ref="G16:J16" si="2">SUM(G14:G15)</f>
        <v>180.20000000000002</v>
      </c>
      <c r="H16" s="26">
        <f t="shared" si="2"/>
        <v>2.782</v>
      </c>
      <c r="I16" s="26">
        <f t="shared" si="2"/>
        <v>3.9250000000000003</v>
      </c>
      <c r="J16" s="26">
        <f t="shared" si="2"/>
        <v>33.141999999999996</v>
      </c>
    </row>
    <row r="17" spans="1:10" ht="30" x14ac:dyDescent="0.25">
      <c r="A17" s="48" t="s">
        <v>38</v>
      </c>
      <c r="B17" s="27" t="s">
        <v>16</v>
      </c>
      <c r="C17" s="28" t="s">
        <v>49</v>
      </c>
      <c r="D17" s="28" t="s">
        <v>66</v>
      </c>
      <c r="E17" s="20" t="s">
        <v>35</v>
      </c>
      <c r="F17" s="21">
        <v>11.84</v>
      </c>
      <c r="G17" s="21">
        <f>359*0.25+220*0.1</f>
        <v>111.75</v>
      </c>
      <c r="H17" s="21">
        <f>7.06*0.25+16.8*0.1</f>
        <v>3.4450000000000003</v>
      </c>
      <c r="I17" s="21">
        <f>19.8*0.25+17*0.1</f>
        <v>6.65</v>
      </c>
      <c r="J17" s="22">
        <f>31.61*0.25+0.2*0.1</f>
        <v>7.9224999999999994</v>
      </c>
    </row>
    <row r="18" spans="1:10" x14ac:dyDescent="0.25">
      <c r="A18" s="49"/>
      <c r="B18" s="12" t="s">
        <v>13</v>
      </c>
      <c r="C18" s="10" t="s">
        <v>50</v>
      </c>
      <c r="D18" s="10" t="s">
        <v>51</v>
      </c>
      <c r="E18" s="23" t="s">
        <v>67</v>
      </c>
      <c r="F18" s="11">
        <v>22.91</v>
      </c>
      <c r="G18" s="35">
        <f>309*0.56</f>
        <v>173.04000000000002</v>
      </c>
      <c r="H18" s="35">
        <f>10.64*0.56</f>
        <v>5.958400000000001</v>
      </c>
      <c r="I18" s="35">
        <f>28.19*0.56</f>
        <v>15.786400000000002</v>
      </c>
      <c r="J18" s="36">
        <f>2.89*0.56</f>
        <v>1.6184000000000003</v>
      </c>
    </row>
    <row r="19" spans="1:10" x14ac:dyDescent="0.25">
      <c r="A19" s="49"/>
      <c r="B19" s="12" t="s">
        <v>17</v>
      </c>
      <c r="C19" s="10" t="s">
        <v>47</v>
      </c>
      <c r="D19" s="10" t="s">
        <v>48</v>
      </c>
      <c r="E19" s="23">
        <v>100</v>
      </c>
      <c r="F19" s="11">
        <v>6.72</v>
      </c>
      <c r="G19" s="11">
        <f>1398*0.1</f>
        <v>139.80000000000001</v>
      </c>
      <c r="H19" s="11">
        <f>24.34*0.1</f>
        <v>2.4340000000000002</v>
      </c>
      <c r="I19" s="11">
        <f>35.83*0.1</f>
        <v>3.5830000000000002</v>
      </c>
      <c r="J19" s="13">
        <f>244.56*0.1</f>
        <v>24.456000000000003</v>
      </c>
    </row>
    <row r="20" spans="1:10" x14ac:dyDescent="0.25">
      <c r="A20" s="49"/>
      <c r="B20" s="12" t="s">
        <v>18</v>
      </c>
      <c r="C20" s="10" t="s">
        <v>19</v>
      </c>
      <c r="D20" s="10" t="s">
        <v>20</v>
      </c>
      <c r="E20" s="23" t="s">
        <v>34</v>
      </c>
      <c r="F20" s="11">
        <v>2.58</v>
      </c>
      <c r="G20" s="11">
        <v>60</v>
      </c>
      <c r="H20" s="11">
        <v>7.0000000000000007E-2</v>
      </c>
      <c r="I20" s="11">
        <v>0.02</v>
      </c>
      <c r="J20" s="13">
        <v>15</v>
      </c>
    </row>
    <row r="21" spans="1:10" ht="15.75" thickBot="1" x14ac:dyDescent="0.3">
      <c r="A21" s="49"/>
      <c r="B21" s="14" t="s">
        <v>14</v>
      </c>
      <c r="C21" s="15" t="s">
        <v>32</v>
      </c>
      <c r="D21" s="15" t="s">
        <v>33</v>
      </c>
      <c r="E21" s="24">
        <v>28</v>
      </c>
      <c r="F21" s="25">
        <v>0.95</v>
      </c>
      <c r="G21" s="25">
        <f>229.7*0.28</f>
        <v>64.316000000000003</v>
      </c>
      <c r="H21" s="16">
        <f>6.7*0.28</f>
        <v>1.8760000000000003</v>
      </c>
      <c r="I21" s="16">
        <f>1.1*0.28</f>
        <v>0.30800000000000005</v>
      </c>
      <c r="J21" s="17">
        <f>48.3*0.28</f>
        <v>13.524000000000001</v>
      </c>
    </row>
    <row r="22" spans="1:10" ht="16.5" thickBot="1" x14ac:dyDescent="0.3">
      <c r="A22" s="65" t="s">
        <v>15</v>
      </c>
      <c r="B22" s="69"/>
      <c r="C22" s="69"/>
      <c r="D22" s="69"/>
      <c r="E22" s="70"/>
      <c r="F22" s="30">
        <f>SUM(F17:F21)</f>
        <v>45</v>
      </c>
      <c r="G22" s="30">
        <f t="shared" ref="G22:J22" si="3">SUM(G17:G21)</f>
        <v>548.90600000000006</v>
      </c>
      <c r="H22" s="30">
        <f t="shared" si="3"/>
        <v>13.783400000000004</v>
      </c>
      <c r="I22" s="30">
        <f t="shared" si="3"/>
        <v>26.347400000000004</v>
      </c>
      <c r="J22" s="30">
        <f t="shared" si="3"/>
        <v>62.520900000000005</v>
      </c>
    </row>
    <row r="23" spans="1:10" ht="15.75" x14ac:dyDescent="0.25">
      <c r="A23" s="68" t="s">
        <v>40</v>
      </c>
      <c r="B23" s="44" t="s">
        <v>31</v>
      </c>
      <c r="C23" s="19" t="s">
        <v>52</v>
      </c>
      <c r="D23" s="19" t="s">
        <v>68</v>
      </c>
      <c r="E23" s="20">
        <v>20</v>
      </c>
      <c r="F23" s="21">
        <v>1.6</v>
      </c>
      <c r="G23" s="21">
        <f>11*0.4</f>
        <v>4.4000000000000004</v>
      </c>
      <c r="H23" s="21">
        <f>0.55*0.4</f>
        <v>0.22000000000000003</v>
      </c>
      <c r="I23" s="21">
        <f>0.1*0.4</f>
        <v>4.0000000000000008E-2</v>
      </c>
      <c r="J23" s="22">
        <f>1.9*0.4</f>
        <v>0.76</v>
      </c>
    </row>
    <row r="24" spans="1:10" ht="30" x14ac:dyDescent="0.25">
      <c r="A24" s="68"/>
      <c r="B24" s="12" t="s">
        <v>16</v>
      </c>
      <c r="C24" s="10" t="s">
        <v>49</v>
      </c>
      <c r="D24" s="10" t="s">
        <v>66</v>
      </c>
      <c r="E24" s="23" t="s">
        <v>35</v>
      </c>
      <c r="F24" s="11">
        <v>11.84</v>
      </c>
      <c r="G24" s="11">
        <f>359*0.25+220*0.1</f>
        <v>111.75</v>
      </c>
      <c r="H24" s="11">
        <f>7.06*0.25+16.8*0.1</f>
        <v>3.4450000000000003</v>
      </c>
      <c r="I24" s="11">
        <f>19.8*0.25+17*0.1</f>
        <v>6.65</v>
      </c>
      <c r="J24" s="13">
        <f>31.61*0.25+0.2*0.1</f>
        <v>7.9224999999999994</v>
      </c>
    </row>
    <row r="25" spans="1:10" x14ac:dyDescent="0.25">
      <c r="A25" s="68"/>
      <c r="B25" s="12" t="s">
        <v>13</v>
      </c>
      <c r="C25" s="10" t="s">
        <v>50</v>
      </c>
      <c r="D25" s="10" t="s">
        <v>51</v>
      </c>
      <c r="E25" s="23" t="s">
        <v>69</v>
      </c>
      <c r="F25" s="11">
        <v>36.82</v>
      </c>
      <c r="G25" s="35">
        <f>309*0.9</f>
        <v>278.10000000000002</v>
      </c>
      <c r="H25" s="35">
        <f>10.64*0.9</f>
        <v>9.5760000000000005</v>
      </c>
      <c r="I25" s="35">
        <f>28.19*0.9</f>
        <v>25.371000000000002</v>
      </c>
      <c r="J25" s="36">
        <f>2.89*0.9</f>
        <v>2.601</v>
      </c>
    </row>
    <row r="26" spans="1:10" x14ac:dyDescent="0.25">
      <c r="A26" s="68"/>
      <c r="B26" s="12" t="s">
        <v>17</v>
      </c>
      <c r="C26" s="10" t="s">
        <v>47</v>
      </c>
      <c r="D26" s="10" t="s">
        <v>48</v>
      </c>
      <c r="E26" s="23">
        <v>150</v>
      </c>
      <c r="F26" s="11">
        <v>10.08</v>
      </c>
      <c r="G26" s="11">
        <f>1398*0.15</f>
        <v>209.7</v>
      </c>
      <c r="H26" s="11">
        <f>24.34*0.15</f>
        <v>3.6509999999999998</v>
      </c>
      <c r="I26" s="11">
        <f>35.83*0.15</f>
        <v>5.3744999999999994</v>
      </c>
      <c r="J26" s="13">
        <f>244.56*0.15</f>
        <v>36.683999999999997</v>
      </c>
    </row>
    <row r="27" spans="1:10" x14ac:dyDescent="0.25">
      <c r="A27" s="68"/>
      <c r="B27" s="12" t="s">
        <v>41</v>
      </c>
      <c r="C27" s="10" t="s">
        <v>42</v>
      </c>
      <c r="D27" s="10" t="s">
        <v>43</v>
      </c>
      <c r="E27" s="23">
        <v>200</v>
      </c>
      <c r="F27" s="11">
        <v>8.25</v>
      </c>
      <c r="G27" s="11">
        <v>111</v>
      </c>
      <c r="H27" s="35">
        <v>0.7</v>
      </c>
      <c r="I27" s="35">
        <v>0</v>
      </c>
      <c r="J27" s="36">
        <v>27</v>
      </c>
    </row>
    <row r="28" spans="1:10" ht="15.75" thickBot="1" x14ac:dyDescent="0.3">
      <c r="A28" s="68"/>
      <c r="B28" s="14" t="s">
        <v>14</v>
      </c>
      <c r="C28" s="15" t="s">
        <v>32</v>
      </c>
      <c r="D28" s="15" t="s">
        <v>33</v>
      </c>
      <c r="E28" s="24">
        <v>33</v>
      </c>
      <c r="F28" s="25">
        <v>0.91</v>
      </c>
      <c r="G28" s="25">
        <f>229.7*0.33</f>
        <v>75.801000000000002</v>
      </c>
      <c r="H28" s="16">
        <f>6.7*0.33</f>
        <v>2.2110000000000003</v>
      </c>
      <c r="I28" s="16">
        <f>1.1*0.33</f>
        <v>0.36300000000000004</v>
      </c>
      <c r="J28" s="17">
        <f>48.3*0.33</f>
        <v>15.939</v>
      </c>
    </row>
    <row r="29" spans="1:10" ht="16.5" thickBot="1" x14ac:dyDescent="0.3">
      <c r="A29" s="65" t="s">
        <v>15</v>
      </c>
      <c r="B29" s="69"/>
      <c r="C29" s="69"/>
      <c r="D29" s="69"/>
      <c r="E29" s="70"/>
      <c r="F29" s="30">
        <f>SUM(F23:F28)</f>
        <v>69.5</v>
      </c>
      <c r="G29" s="30">
        <f t="shared" ref="G29:J29" si="4">SUM(G23:G28)</f>
        <v>790.75100000000009</v>
      </c>
      <c r="H29" s="30">
        <f t="shared" si="4"/>
        <v>19.803000000000004</v>
      </c>
      <c r="I29" s="30">
        <f t="shared" si="4"/>
        <v>37.798499999999997</v>
      </c>
      <c r="J29" s="30">
        <f t="shared" si="4"/>
        <v>90.906499999999994</v>
      </c>
    </row>
    <row r="31" spans="1:10" ht="15.75" thickBot="1" x14ac:dyDescent="0.3">
      <c r="A31" s="61" t="s">
        <v>25</v>
      </c>
      <c r="B31" s="61"/>
      <c r="C31" s="61"/>
      <c r="D31" s="61"/>
      <c r="E31" s="61"/>
      <c r="F31" s="61"/>
      <c r="G31" s="61"/>
      <c r="H31" s="61"/>
      <c r="I31" s="61"/>
      <c r="J31" s="61"/>
    </row>
    <row r="32" spans="1:10" ht="15.75" x14ac:dyDescent="0.25">
      <c r="A32" s="31"/>
      <c r="B32" s="31"/>
      <c r="C32" s="60" t="s">
        <v>23</v>
      </c>
      <c r="D32" s="60"/>
      <c r="G32" s="62"/>
      <c r="H32" s="62"/>
      <c r="I32" s="62"/>
      <c r="J32" s="62"/>
    </row>
    <row r="33" spans="1:4" x14ac:dyDescent="0.25">
      <c r="A33" s="1"/>
      <c r="B33" s="1"/>
      <c r="C33" s="1"/>
      <c r="D33" s="1"/>
    </row>
    <row r="34" spans="1:4" x14ac:dyDescent="0.25">
      <c r="A34" s="45" t="s">
        <v>24</v>
      </c>
      <c r="B34" s="45"/>
    </row>
    <row r="35" spans="1:4" x14ac:dyDescent="0.25">
      <c r="A35" s="45" t="s">
        <v>26</v>
      </c>
      <c r="B35" s="45"/>
    </row>
  </sheetData>
  <mergeCells count="17">
    <mergeCell ref="B1:C1"/>
    <mergeCell ref="G1:J1"/>
    <mergeCell ref="A3:A8"/>
    <mergeCell ref="A9:E9"/>
    <mergeCell ref="A17:A21"/>
    <mergeCell ref="A34:B34"/>
    <mergeCell ref="A35:B35"/>
    <mergeCell ref="A10:A12"/>
    <mergeCell ref="A13:E13"/>
    <mergeCell ref="A14:A15"/>
    <mergeCell ref="A16:E16"/>
    <mergeCell ref="A23:A28"/>
    <mergeCell ref="A29:E29"/>
    <mergeCell ref="A31:J31"/>
    <mergeCell ref="C32:D32"/>
    <mergeCell ref="G32:J32"/>
    <mergeCell ref="A22:E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20.09 1-4 кл</vt:lpstr>
      <vt:lpstr>20.09 5-11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2021-09-19T11:24:41Z</dcterms:modified>
</cp:coreProperties>
</file>