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50D90466-2BF4-48BE-9B88-7BE11AD50635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23.09 1-4 кл" sheetId="1" r:id="rId1"/>
    <sheet name="23.09 5-11 кл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F16" i="2"/>
  <c r="J13" i="2" l="1"/>
  <c r="F13" i="2"/>
  <c r="J10" i="2"/>
  <c r="I10" i="2"/>
  <c r="I13" i="2" s="1"/>
  <c r="H10" i="2"/>
  <c r="H13" i="2" s="1"/>
  <c r="G10" i="2"/>
  <c r="G13" i="2" s="1"/>
  <c r="J12" i="2"/>
  <c r="I12" i="2"/>
  <c r="H12" i="2"/>
  <c r="G12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F9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J9" i="2" s="1"/>
  <c r="I3" i="2"/>
  <c r="I9" i="2" s="1"/>
  <c r="H3" i="2"/>
  <c r="H9" i="2" s="1"/>
  <c r="G3" i="2"/>
  <c r="G9" i="2" s="1"/>
  <c r="J25" i="1"/>
  <c r="I25" i="1"/>
  <c r="I26" i="1" s="1"/>
  <c r="H25" i="1"/>
  <c r="G25" i="1"/>
  <c r="G26" i="1" s="1"/>
  <c r="H26" i="1"/>
  <c r="J26" i="1"/>
  <c r="F26" i="1"/>
  <c r="F15" i="1" l="1"/>
  <c r="J14" i="1"/>
  <c r="I14" i="1"/>
  <c r="H14" i="1"/>
  <c r="G14" i="1"/>
  <c r="J12" i="1"/>
  <c r="I12" i="1"/>
  <c r="H12" i="1"/>
  <c r="G12" i="1"/>
  <c r="J11" i="1"/>
  <c r="I11" i="1"/>
  <c r="H11" i="1"/>
  <c r="G11" i="1"/>
  <c r="J10" i="1"/>
  <c r="J15" i="1" s="1"/>
  <c r="I10" i="1"/>
  <c r="I15" i="1" s="1"/>
  <c r="H10" i="1"/>
  <c r="H15" i="1" s="1"/>
  <c r="G10" i="1"/>
  <c r="G15" i="1" s="1"/>
  <c r="F23" i="1"/>
  <c r="J21" i="1"/>
  <c r="I21" i="1"/>
  <c r="H21" i="1"/>
  <c r="G21" i="1"/>
  <c r="J22" i="1"/>
  <c r="I22" i="1"/>
  <c r="H22" i="1"/>
  <c r="G22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F9" i="1"/>
  <c r="J8" i="1"/>
  <c r="I8" i="1"/>
  <c r="H8" i="1"/>
  <c r="G8" i="1"/>
  <c r="J7" i="1"/>
  <c r="I7" i="1"/>
  <c r="H7" i="1"/>
  <c r="G7" i="1"/>
  <c r="J5" i="1" l="1"/>
  <c r="I5" i="1"/>
  <c r="H5" i="1"/>
  <c r="G5" i="1"/>
  <c r="J4" i="1" l="1"/>
  <c r="I4" i="1"/>
  <c r="H4" i="1"/>
  <c r="G4" i="1"/>
  <c r="J3" i="1"/>
  <c r="J9" i="1" s="1"/>
  <c r="I3" i="1"/>
  <c r="I9" i="1" s="1"/>
  <c r="H3" i="1"/>
  <c r="H9" i="1" s="1"/>
  <c r="G3" i="1"/>
  <c r="G9" i="1" s="1"/>
  <c r="F22" i="2" l="1"/>
  <c r="F30" i="2"/>
  <c r="I22" i="2" l="1"/>
  <c r="G22" i="2"/>
  <c r="J30" i="2"/>
  <c r="I30" i="2"/>
  <c r="H30" i="2"/>
  <c r="G30" i="2"/>
  <c r="H22" i="2" l="1"/>
  <c r="J22" i="2"/>
  <c r="J18" i="1"/>
  <c r="J23" i="1" s="1"/>
  <c r="I18" i="1"/>
  <c r="I23" i="1" s="1"/>
  <c r="H18" i="1"/>
  <c r="H23" i="1" s="1"/>
  <c r="G18" i="1"/>
  <c r="G23" i="1" s="1"/>
</calcChain>
</file>

<file path=xl/sharedStrings.xml><?xml version="1.0" encoding="utf-8"?>
<sst xmlns="http://schemas.openxmlformats.org/spreadsheetml/2006/main" count="195" uniqueCount="79">
  <si>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</si>
  <si>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</si>
  <si>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</si>
  <si>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</si>
  <si>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</si>
  <si>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</si>
  <si>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</si>
  <si>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</si>
  <si>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</si>
  <si>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</si>
  <si>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</si>
  <si>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</si>
  <si>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</si>
  <si>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</si>
  <si>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</si>
  <si>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</si>
  <si>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</si>
  <si>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</si>
  <si>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</si>
  <si>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</si>
  <si>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</si>
  <si>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</si>
  <si>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</si>
  <si>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</si>
  <si>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</si>
  <si>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</si>
  <si>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</si>
  <si>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</si>
  <si>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</si>
  <si>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</si>
  <si>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</si>
  <si>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</si>
  <si>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</si>
  <si>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</si>
  <si>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</si>
  <si>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</si>
  <si>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</si>
  <si>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</si>
  <si>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</si>
  <si>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</si>
  <si>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</si>
  <si>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</si>
  <si>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№71-2015г.</t>
  </si>
  <si>
    <t>Кисломолочный напиток</t>
  </si>
  <si>
    <t xml:space="preserve">Биойогурт "Славянский" </t>
  </si>
  <si>
    <t>№425-2015г.</t>
  </si>
  <si>
    <t>Булочка дорожная</t>
  </si>
  <si>
    <t>Биточки рыбные "по-домашнему" из минтая</t>
  </si>
  <si>
    <t>ТТК №22</t>
  </si>
  <si>
    <t>Пюре картофельное</t>
  </si>
  <si>
    <t>№312-2015г.</t>
  </si>
  <si>
    <t>Напиток (сладкое блюдо)</t>
  </si>
  <si>
    <t>Печенье "Американер"</t>
  </si>
  <si>
    <t>№306-2015г.</t>
  </si>
  <si>
    <t>Бобовые отварные (кукуруза сахарная консервированная)</t>
  </si>
  <si>
    <t>№250-2015г.</t>
  </si>
  <si>
    <t>Бефстроганов</t>
  </si>
  <si>
    <t>30/30</t>
  </si>
  <si>
    <t>№302-2015г.</t>
  </si>
  <si>
    <t>Каша рассыпчатая гречневая</t>
  </si>
  <si>
    <t>№686-2004г.</t>
  </si>
  <si>
    <t>№422-2015г.</t>
  </si>
  <si>
    <t>Булочка ванильная</t>
  </si>
  <si>
    <t>Овощи натуральные свежие (огурцы)</t>
  </si>
  <si>
    <t>№88-2015г.</t>
  </si>
  <si>
    <t>Щи из свежей капусты с картофелем</t>
  </si>
  <si>
    <t>Компот из кураги</t>
  </si>
  <si>
    <t>№348-2015г.</t>
  </si>
  <si>
    <t>150</t>
  </si>
  <si>
    <t>70,6</t>
  </si>
  <si>
    <t>200/15/7</t>
  </si>
  <si>
    <t>Чай с лимоном</t>
  </si>
  <si>
    <t>Батон пшеничный</t>
  </si>
  <si>
    <t>№171-2015г.</t>
  </si>
  <si>
    <t>Каша рассыпчатая гречневая с маслом и сахаром</t>
  </si>
  <si>
    <t>150/5/5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</si>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</sst>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49" fontId="1" fillId="0" borderId="37" xfId="0" applyNumberFormat="1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vertical="center" wrapText="1"/>
    </xf>
    <xf numFmtId="4" fontId="1" fillId="0" borderId="37" xfId="0" applyNumberFormat="1" applyFont="1" applyBorder="1" applyAlignment="1">
      <alignment horizontal="right" vertical="center" wrapText="1"/>
    </xf>
    <xf numFmtId="4" fontId="1" fillId="0" borderId="38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vertical="center" wrapText="1"/>
    </xf>
    <xf numFmtId="2" fontId="1" fillId="0" borderId="42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/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right" vertical="center" wrapText="1"/>
    </xf>
    <xf numFmtId="49" fontId="1" fillId="0" borderId="44" xfId="0" applyNumberFormat="1" applyFont="1" applyBorder="1" applyAlignment="1">
      <alignment horizontal="right" vertical="center" wrapText="1"/>
    </xf>
    <xf numFmtId="2" fontId="1" fillId="0" borderId="26" xfId="0" applyNumberFormat="1" applyFont="1" applyBorder="1" applyAlignment="1">
      <alignment horizontal="right" vertical="center" wrapText="1"/>
    </xf>
    <xf numFmtId="2" fontId="1" fillId="0" borderId="49" xfId="0" applyNumberFormat="1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4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C6" sqref="C6"/>
    </sheetView>
  </sheetViews>
  <sheetFormatPr defaultColWidth="9.109375" defaultRowHeight="13.8" x14ac:dyDescent="0.25"/>
  <cols>
    <col min="1" max="1" width="24" style="3" customWidth="1"/>
    <col min="2" max="2" width="24.6640625" style="3" customWidth="1"/>
    <col min="3" max="3" width="12.33203125" style="3" customWidth="1"/>
    <col min="4" max="4" width="46.33203125" style="3" customWidth="1"/>
    <col min="5" max="5" width="10.109375" style="3" bestFit="1" customWidth="1"/>
    <col min="6" max="6" width="9.109375" style="3"/>
    <col min="7" max="7" width="18.109375" style="3" customWidth="1"/>
    <col min="8" max="8" width="11.44140625" style="3" bestFit="1" customWidth="1"/>
    <col min="9" max="9" width="9.109375" style="3"/>
    <col min="10" max="10" width="10.88671875" style="3" customWidth="1"/>
    <col min="11" max="16384" width="9.109375" style="3"/>
  </cols>
  <sheetData>
    <row r="1" spans="1:12" ht="14.4" thickBot="1" x14ac:dyDescent="0.3">
      <c r="A1" s="1" t="s">
        <v>0</v>
      </c>
      <c r="B1" s="85" t="s">
        <v>22</v>
      </c>
      <c r="C1" s="86"/>
      <c r="D1" s="1" t="s">
        <v>1</v>
      </c>
      <c r="E1" s="2"/>
      <c r="F1" s="1" t="s">
        <v>2</v>
      </c>
      <c r="G1" s="87">
        <v>44462</v>
      </c>
      <c r="H1" s="88"/>
      <c r="I1" s="88"/>
      <c r="J1" s="88"/>
      <c r="K1" s="1"/>
      <c r="L1" s="1"/>
    </row>
    <row r="2" spans="1:12" ht="15" thickTop="1" thickBot="1" x14ac:dyDescent="0.3">
      <c r="A2" s="4" t="s">
        <v>3</v>
      </c>
      <c r="B2" s="7" t="s">
        <v>4</v>
      </c>
      <c r="C2" s="7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8" t="s">
        <v>12</v>
      </c>
    </row>
    <row r="3" spans="1:12" s="64" customFormat="1" ht="28.2" thickTop="1" x14ac:dyDescent="0.25">
      <c r="A3" s="76" t="s">
        <v>27</v>
      </c>
      <c r="B3" s="17" t="s">
        <v>31</v>
      </c>
      <c r="C3" s="18" t="s">
        <v>53</v>
      </c>
      <c r="D3" s="27" t="s">
        <v>54</v>
      </c>
      <c r="E3" s="19">
        <v>10</v>
      </c>
      <c r="F3" s="19">
        <v>4.8499999999999996</v>
      </c>
      <c r="G3" s="34">
        <f>736*0.01</f>
        <v>7.36</v>
      </c>
      <c r="H3" s="34">
        <f>20.55*0.01</f>
        <v>0.20550000000000002</v>
      </c>
      <c r="I3" s="34">
        <f>29.1*0.01</f>
        <v>0.29100000000000004</v>
      </c>
      <c r="J3" s="35">
        <f>97.89*0.01</f>
        <v>0.97889999999999999</v>
      </c>
    </row>
    <row r="4" spans="1:12" s="64" customFormat="1" ht="14.4" x14ac:dyDescent="0.3">
      <c r="A4" s="77"/>
      <c r="B4" s="11" t="s">
        <v>13</v>
      </c>
      <c r="C4" s="9" t="s">
        <v>55</v>
      </c>
      <c r="D4" s="9" t="s">
        <v>56</v>
      </c>
      <c r="E4" s="22" t="s">
        <v>57</v>
      </c>
      <c r="F4" s="10">
        <v>41.3</v>
      </c>
      <c r="G4" s="10">
        <f>290*0.6</f>
        <v>174</v>
      </c>
      <c r="H4" s="10">
        <f>15.2*0.6</f>
        <v>9.1199999999999992</v>
      </c>
      <c r="I4" s="10">
        <f>23.1*0.6</f>
        <v>13.860000000000001</v>
      </c>
      <c r="J4" s="12">
        <f>5.12*0.6</f>
        <v>3.0720000000000001</v>
      </c>
      <c r="K4"/>
    </row>
    <row r="5" spans="1:12" s="64" customFormat="1" ht="14.4" x14ac:dyDescent="0.3">
      <c r="A5" s="77"/>
      <c r="B5" s="11" t="s">
        <v>17</v>
      </c>
      <c r="C5" s="9" t="s">
        <v>58</v>
      </c>
      <c r="D5" s="9" t="s">
        <v>59</v>
      </c>
      <c r="E5" s="22">
        <v>140</v>
      </c>
      <c r="F5" s="10">
        <v>13.66</v>
      </c>
      <c r="G5" s="39">
        <f>1625*0.14</f>
        <v>227.50000000000003</v>
      </c>
      <c r="H5" s="39">
        <f>57.32*0.14</f>
        <v>8.0248000000000008</v>
      </c>
      <c r="I5" s="39">
        <f>40.62*0.14</f>
        <v>5.6867999999999999</v>
      </c>
      <c r="J5" s="40">
        <f>257.61*0.14</f>
        <v>36.065400000000004</v>
      </c>
      <c r="K5"/>
    </row>
    <row r="6" spans="1:12" s="64" customFormat="1" ht="14.4" x14ac:dyDescent="0.3">
      <c r="A6" s="77"/>
      <c r="B6" s="11" t="s">
        <v>18</v>
      </c>
      <c r="C6" s="9" t="s">
        <v>60</v>
      </c>
      <c r="D6" s="9" t="s">
        <v>71</v>
      </c>
      <c r="E6" s="22" t="s">
        <v>70</v>
      </c>
      <c r="F6" s="10">
        <v>5.48</v>
      </c>
      <c r="G6" s="10">
        <v>62</v>
      </c>
      <c r="H6" s="10">
        <v>0.13</v>
      </c>
      <c r="I6" s="10">
        <v>0.02</v>
      </c>
      <c r="J6" s="12">
        <v>16.7</v>
      </c>
      <c r="K6"/>
    </row>
    <row r="7" spans="1:12" ht="14.4" x14ac:dyDescent="0.3">
      <c r="A7" s="77"/>
      <c r="B7" s="11" t="s">
        <v>21</v>
      </c>
      <c r="C7" s="9" t="s">
        <v>61</v>
      </c>
      <c r="D7" s="9" t="s">
        <v>62</v>
      </c>
      <c r="E7" s="22">
        <v>50</v>
      </c>
      <c r="F7" s="10">
        <v>3.41</v>
      </c>
      <c r="G7" s="41">
        <f>283*0.5</f>
        <v>141.5</v>
      </c>
      <c r="H7" s="41">
        <f>7.9*0.5</f>
        <v>3.95</v>
      </c>
      <c r="I7" s="41">
        <f>8.12*0.5</f>
        <v>4.0599999999999996</v>
      </c>
      <c r="J7" s="41">
        <f>44.48*0.5</f>
        <v>22.24</v>
      </c>
      <c r="K7"/>
    </row>
    <row r="8" spans="1:12" ht="15" thickBot="1" x14ac:dyDescent="0.35">
      <c r="A8" s="78"/>
      <c r="B8" s="13" t="s">
        <v>14</v>
      </c>
      <c r="C8" s="14" t="s">
        <v>32</v>
      </c>
      <c r="D8" s="14" t="s">
        <v>33</v>
      </c>
      <c r="E8" s="23">
        <v>23.5</v>
      </c>
      <c r="F8" s="24">
        <v>0.8</v>
      </c>
      <c r="G8" s="24">
        <f>229.7*0.235</f>
        <v>53.979499999999994</v>
      </c>
      <c r="H8" s="15">
        <f>6.7*0.235</f>
        <v>1.5745</v>
      </c>
      <c r="I8" s="15">
        <f>1.1*0.235</f>
        <v>0.25850000000000001</v>
      </c>
      <c r="J8" s="16">
        <f>48.3*0.235</f>
        <v>11.350499999999998</v>
      </c>
      <c r="K8"/>
    </row>
    <row r="9" spans="1:12" ht="16.2" thickBot="1" x14ac:dyDescent="0.3">
      <c r="A9" s="92" t="s">
        <v>15</v>
      </c>
      <c r="B9" s="93"/>
      <c r="C9" s="93"/>
      <c r="D9" s="93"/>
      <c r="E9" s="94"/>
      <c r="F9" s="25">
        <f>SUM(F3:F8)</f>
        <v>69.5</v>
      </c>
      <c r="G9" s="25">
        <f t="shared" ref="G9:J9" si="0">SUM(G3:G8)</f>
        <v>666.33950000000004</v>
      </c>
      <c r="H9" s="25">
        <f t="shared" si="0"/>
        <v>23.004799999999999</v>
      </c>
      <c r="I9" s="25">
        <f t="shared" si="0"/>
        <v>24.176300000000001</v>
      </c>
      <c r="J9" s="25">
        <f t="shared" si="0"/>
        <v>90.40679999999999</v>
      </c>
    </row>
    <row r="10" spans="1:12" s="64" customFormat="1" x14ac:dyDescent="0.25">
      <c r="A10" s="79" t="s">
        <v>28</v>
      </c>
      <c r="B10" s="26" t="s">
        <v>16</v>
      </c>
      <c r="C10" s="27" t="s">
        <v>64</v>
      </c>
      <c r="D10" s="27" t="s">
        <v>65</v>
      </c>
      <c r="E10" s="19">
        <v>250</v>
      </c>
      <c r="F10" s="20">
        <v>7.9</v>
      </c>
      <c r="G10" s="20">
        <f>359*0.25</f>
        <v>89.75</v>
      </c>
      <c r="H10" s="20">
        <f>7.06*0.25</f>
        <v>1.7649999999999999</v>
      </c>
      <c r="I10" s="20">
        <f>19.8*0.25</f>
        <v>4.95</v>
      </c>
      <c r="J10" s="21">
        <f>31.61*0.25</f>
        <v>7.9024999999999999</v>
      </c>
    </row>
    <row r="11" spans="1:12" s="64" customFormat="1" ht="14.4" x14ac:dyDescent="0.3">
      <c r="A11" s="80"/>
      <c r="B11" s="11" t="s">
        <v>13</v>
      </c>
      <c r="C11" s="61" t="s">
        <v>48</v>
      </c>
      <c r="D11" s="60" t="s">
        <v>47</v>
      </c>
      <c r="E11" s="22">
        <v>65</v>
      </c>
      <c r="F11" s="10">
        <v>23.65</v>
      </c>
      <c r="G11" s="41">
        <f>132.2/75*65</f>
        <v>114.57333333333332</v>
      </c>
      <c r="H11" s="41">
        <f>9.5/75*65</f>
        <v>8.2333333333333343</v>
      </c>
      <c r="I11" s="41">
        <f>5.6/75*65</f>
        <v>4.8533333333333326</v>
      </c>
      <c r="J11" s="47">
        <f>10.9/75*65</f>
        <v>9.4466666666666672</v>
      </c>
      <c r="K11"/>
    </row>
    <row r="12" spans="1:12" ht="14.4" x14ac:dyDescent="0.3">
      <c r="A12" s="80"/>
      <c r="B12" s="11" t="s">
        <v>17</v>
      </c>
      <c r="C12" s="61" t="s">
        <v>50</v>
      </c>
      <c r="D12" s="63" t="s">
        <v>49</v>
      </c>
      <c r="E12" s="22">
        <v>100</v>
      </c>
      <c r="F12" s="10">
        <v>10.039999999999999</v>
      </c>
      <c r="G12" s="39">
        <f>915*0.1</f>
        <v>91.5</v>
      </c>
      <c r="H12" s="39">
        <f>20.43*0.1</f>
        <v>2.0430000000000001</v>
      </c>
      <c r="I12" s="39">
        <f>32.01*0.1</f>
        <v>3.2010000000000001</v>
      </c>
      <c r="J12" s="40">
        <f>136.26*0.1</f>
        <v>13.625999999999999</v>
      </c>
      <c r="K12"/>
    </row>
    <row r="13" spans="1:12" ht="14.4" x14ac:dyDescent="0.3">
      <c r="A13" s="80"/>
      <c r="B13" s="11" t="s">
        <v>18</v>
      </c>
      <c r="C13" s="9" t="s">
        <v>19</v>
      </c>
      <c r="D13" s="9" t="s">
        <v>20</v>
      </c>
      <c r="E13" s="22" t="s">
        <v>34</v>
      </c>
      <c r="F13" s="10">
        <v>2.62</v>
      </c>
      <c r="G13" s="10">
        <v>60</v>
      </c>
      <c r="H13" s="10">
        <v>7.0000000000000007E-2</v>
      </c>
      <c r="I13" s="10">
        <v>0.02</v>
      </c>
      <c r="J13" s="12">
        <v>15</v>
      </c>
      <c r="K13"/>
    </row>
    <row r="14" spans="1:12" ht="14.4" thickBot="1" x14ac:dyDescent="0.3">
      <c r="A14" s="80"/>
      <c r="B14" s="13" t="s">
        <v>14</v>
      </c>
      <c r="C14" s="14" t="s">
        <v>32</v>
      </c>
      <c r="D14" s="14" t="s">
        <v>33</v>
      </c>
      <c r="E14" s="23">
        <v>23</v>
      </c>
      <c r="F14" s="24">
        <v>0.79</v>
      </c>
      <c r="G14" s="24">
        <f>229.7*0.23</f>
        <v>52.831000000000003</v>
      </c>
      <c r="H14" s="15">
        <f>6.7*0.23</f>
        <v>1.5410000000000001</v>
      </c>
      <c r="I14" s="15">
        <f>1.1*0.23</f>
        <v>0.25300000000000006</v>
      </c>
      <c r="J14" s="16">
        <f>48.3*0.23</f>
        <v>11.109</v>
      </c>
    </row>
    <row r="15" spans="1:12" ht="16.2" thickBot="1" x14ac:dyDescent="0.3">
      <c r="A15" s="81" t="s">
        <v>15</v>
      </c>
      <c r="B15" s="93"/>
      <c r="C15" s="93"/>
      <c r="D15" s="93"/>
      <c r="E15" s="94"/>
      <c r="F15" s="25">
        <f>SUM(F10:F14)</f>
        <v>44.999999999999993</v>
      </c>
      <c r="G15" s="25">
        <f t="shared" ref="G15:J15" si="1">SUM(G10:G14)</f>
        <v>408.65433333333334</v>
      </c>
      <c r="H15" s="25">
        <f t="shared" si="1"/>
        <v>13.652333333333335</v>
      </c>
      <c r="I15" s="25">
        <f t="shared" si="1"/>
        <v>13.277333333333333</v>
      </c>
      <c r="J15" s="25">
        <f t="shared" si="1"/>
        <v>57.084166666666668</v>
      </c>
    </row>
    <row r="16" spans="1:12" s="36" customFormat="1" x14ac:dyDescent="0.25">
      <c r="A16" s="84" t="s">
        <v>29</v>
      </c>
      <c r="B16" s="26" t="s">
        <v>31</v>
      </c>
      <c r="C16" s="27" t="s">
        <v>42</v>
      </c>
      <c r="D16" s="27" t="s">
        <v>63</v>
      </c>
      <c r="E16" s="19">
        <v>20</v>
      </c>
      <c r="F16" s="20">
        <v>2.73</v>
      </c>
      <c r="G16" s="20">
        <f>6*0.4</f>
        <v>2.4000000000000004</v>
      </c>
      <c r="H16" s="20">
        <f>0.35*0.4</f>
        <v>0.13999999999999999</v>
      </c>
      <c r="I16" s="20">
        <f>0.05*0.4</f>
        <v>2.0000000000000004E-2</v>
      </c>
      <c r="J16" s="21">
        <f>0.95*0.4</f>
        <v>0.38</v>
      </c>
    </row>
    <row r="17" spans="1:11" x14ac:dyDescent="0.25">
      <c r="A17" s="77"/>
      <c r="B17" s="11" t="s">
        <v>16</v>
      </c>
      <c r="C17" s="9" t="s">
        <v>64</v>
      </c>
      <c r="D17" s="9" t="s">
        <v>65</v>
      </c>
      <c r="E17" s="22">
        <v>250</v>
      </c>
      <c r="F17" s="10">
        <v>7.9</v>
      </c>
      <c r="G17" s="10">
        <f>359*0.25</f>
        <v>89.75</v>
      </c>
      <c r="H17" s="10">
        <f>7.06*0.25</f>
        <v>1.7649999999999999</v>
      </c>
      <c r="I17" s="10">
        <f>19.8*0.25</f>
        <v>4.95</v>
      </c>
      <c r="J17" s="12">
        <f>31.61*0.25</f>
        <v>7.9024999999999999</v>
      </c>
    </row>
    <row r="18" spans="1:11" s="36" customFormat="1" ht="14.4" x14ac:dyDescent="0.3">
      <c r="A18" s="77"/>
      <c r="B18" s="11" t="s">
        <v>13</v>
      </c>
      <c r="C18" s="61" t="s">
        <v>48</v>
      </c>
      <c r="D18" s="60" t="s">
        <v>47</v>
      </c>
      <c r="E18" s="22">
        <v>65</v>
      </c>
      <c r="F18" s="10">
        <v>23.65</v>
      </c>
      <c r="G18" s="41">
        <f>132.2/75*65</f>
        <v>114.57333333333332</v>
      </c>
      <c r="H18" s="41">
        <f>9.5/75*65</f>
        <v>8.2333333333333343</v>
      </c>
      <c r="I18" s="41">
        <f>5.6/75*65</f>
        <v>4.8533333333333326</v>
      </c>
      <c r="J18" s="41">
        <f>10.9/75*65</f>
        <v>9.4466666666666672</v>
      </c>
      <c r="K18"/>
    </row>
    <row r="19" spans="1:11" s="36" customFormat="1" ht="14.4" x14ac:dyDescent="0.3">
      <c r="A19" s="77"/>
      <c r="B19" s="11" t="s">
        <v>17</v>
      </c>
      <c r="C19" s="61" t="s">
        <v>50</v>
      </c>
      <c r="D19" s="63" t="s">
        <v>49</v>
      </c>
      <c r="E19" s="22">
        <v>140</v>
      </c>
      <c r="F19" s="10">
        <v>14.05</v>
      </c>
      <c r="G19" s="39">
        <f>915*0.14</f>
        <v>128.10000000000002</v>
      </c>
      <c r="H19" s="39">
        <f>20.43*0.14</f>
        <v>2.8602000000000003</v>
      </c>
      <c r="I19" s="39">
        <f>32.01*0.14</f>
        <v>4.4813999999999998</v>
      </c>
      <c r="J19" s="40">
        <f>136.26*0.14</f>
        <v>19.0764</v>
      </c>
      <c r="K19"/>
    </row>
    <row r="20" spans="1:11" ht="15.6" x14ac:dyDescent="0.3">
      <c r="A20" s="77"/>
      <c r="B20" s="11" t="s">
        <v>51</v>
      </c>
      <c r="C20" s="61" t="s">
        <v>67</v>
      </c>
      <c r="D20" s="62" t="s">
        <v>66</v>
      </c>
      <c r="E20" s="22">
        <v>200</v>
      </c>
      <c r="F20" s="10">
        <v>17.260000000000002</v>
      </c>
      <c r="G20" s="10">
        <f>574*0.2</f>
        <v>114.80000000000001</v>
      </c>
      <c r="H20" s="37">
        <f>3.9*0.2</f>
        <v>0.78</v>
      </c>
      <c r="I20" s="37">
        <f>0.23*0.2</f>
        <v>4.6000000000000006E-2</v>
      </c>
      <c r="J20" s="38">
        <f>138.15*0.2</f>
        <v>27.630000000000003</v>
      </c>
      <c r="K20"/>
    </row>
    <row r="21" spans="1:11" s="64" customFormat="1" ht="14.4" x14ac:dyDescent="0.3">
      <c r="A21" s="77"/>
      <c r="B21" s="11" t="s">
        <v>21</v>
      </c>
      <c r="C21" s="9" t="s">
        <v>45</v>
      </c>
      <c r="D21" s="9" t="s">
        <v>46</v>
      </c>
      <c r="E21" s="22">
        <v>50</v>
      </c>
      <c r="F21" s="10">
        <v>3.16</v>
      </c>
      <c r="G21" s="41">
        <f>321*0.5</f>
        <v>160.5</v>
      </c>
      <c r="H21" s="41">
        <f>6.78*0.5</f>
        <v>3.39</v>
      </c>
      <c r="I21" s="41">
        <f>13.96*0.5</f>
        <v>6.98</v>
      </c>
      <c r="J21" s="41">
        <f>42.14*0.5</f>
        <v>21.07</v>
      </c>
      <c r="K21"/>
    </row>
    <row r="22" spans="1:11" ht="15" thickBot="1" x14ac:dyDescent="0.35">
      <c r="A22" s="78"/>
      <c r="B22" s="54" t="s">
        <v>14</v>
      </c>
      <c r="C22" s="55" t="s">
        <v>32</v>
      </c>
      <c r="D22" s="55" t="s">
        <v>33</v>
      </c>
      <c r="E22" s="56">
        <v>22</v>
      </c>
      <c r="F22" s="57">
        <v>0.75</v>
      </c>
      <c r="G22" s="57">
        <f>229.7*0.22</f>
        <v>50.533999999999999</v>
      </c>
      <c r="H22" s="58">
        <f>6.7*0.22</f>
        <v>1.474</v>
      </c>
      <c r="I22" s="58">
        <f>1.1*0.22</f>
        <v>0.24200000000000002</v>
      </c>
      <c r="J22" s="59">
        <f>48.3*0.22</f>
        <v>10.625999999999999</v>
      </c>
      <c r="K22"/>
    </row>
    <row r="23" spans="1:11" ht="16.2" thickBot="1" x14ac:dyDescent="0.35">
      <c r="A23" s="92" t="s">
        <v>15</v>
      </c>
      <c r="B23" s="93"/>
      <c r="C23" s="93"/>
      <c r="D23" s="93"/>
      <c r="E23" s="94"/>
      <c r="F23" s="25">
        <f>SUM(F16:F22)</f>
        <v>69.5</v>
      </c>
      <c r="G23" s="25">
        <f t="shared" ref="G23:J23" si="2">SUM(G16:G22)</f>
        <v>660.65733333333344</v>
      </c>
      <c r="H23" s="25">
        <f t="shared" si="2"/>
        <v>18.642533333333333</v>
      </c>
      <c r="I23" s="25">
        <f t="shared" si="2"/>
        <v>21.572733333333332</v>
      </c>
      <c r="J23" s="25">
        <f t="shared" si="2"/>
        <v>96.131566666666657</v>
      </c>
      <c r="K23"/>
    </row>
    <row r="24" spans="1:11" ht="14.4" x14ac:dyDescent="0.3">
      <c r="A24" s="79" t="s">
        <v>30</v>
      </c>
      <c r="B24" s="26" t="s">
        <v>43</v>
      </c>
      <c r="C24" s="27" t="s">
        <v>40</v>
      </c>
      <c r="D24" s="27" t="s">
        <v>44</v>
      </c>
      <c r="E24" s="30" t="s">
        <v>68</v>
      </c>
      <c r="F24" s="31">
        <v>23.59</v>
      </c>
      <c r="G24" s="34">
        <v>144</v>
      </c>
      <c r="H24" s="20">
        <v>5.25</v>
      </c>
      <c r="I24" s="20">
        <v>3.75</v>
      </c>
      <c r="J24" s="21">
        <v>22.5</v>
      </c>
      <c r="K24"/>
    </row>
    <row r="25" spans="1:11" s="36" customFormat="1" ht="15" thickBot="1" x14ac:dyDescent="0.35">
      <c r="A25" s="80"/>
      <c r="B25" s="48" t="s">
        <v>41</v>
      </c>
      <c r="C25" s="49" t="s">
        <v>40</v>
      </c>
      <c r="D25" s="49" t="s">
        <v>52</v>
      </c>
      <c r="E25" s="50" t="s">
        <v>69</v>
      </c>
      <c r="F25" s="51">
        <v>21.41</v>
      </c>
      <c r="G25" s="52">
        <f>450*0.706</f>
        <v>317.7</v>
      </c>
      <c r="H25" s="52">
        <f>7.5*0.706</f>
        <v>5.2949999999999999</v>
      </c>
      <c r="I25" s="52">
        <f>16*0.706</f>
        <v>11.295999999999999</v>
      </c>
      <c r="J25" s="53">
        <f>66*0.706</f>
        <v>46.595999999999997</v>
      </c>
      <c r="K25"/>
    </row>
    <row r="26" spans="1:11" ht="16.2" thickBot="1" x14ac:dyDescent="0.35">
      <c r="A26" s="81" t="s">
        <v>15</v>
      </c>
      <c r="B26" s="82"/>
      <c r="C26" s="82"/>
      <c r="D26" s="82"/>
      <c r="E26" s="83"/>
      <c r="F26" s="29">
        <f>SUM(F24:F25)</f>
        <v>45</v>
      </c>
      <c r="G26" s="29">
        <f t="shared" ref="G26:J26" si="3">SUM(G24:G25)</f>
        <v>461.7</v>
      </c>
      <c r="H26" s="29">
        <f t="shared" si="3"/>
        <v>10.545</v>
      </c>
      <c r="I26" s="29">
        <f t="shared" si="3"/>
        <v>15.045999999999999</v>
      </c>
      <c r="J26" s="67">
        <f t="shared" si="3"/>
        <v>69.096000000000004</v>
      </c>
      <c r="K26"/>
    </row>
    <row r="28" spans="1:11" ht="14.4" thickBot="1" x14ac:dyDescent="0.3">
      <c r="A28" s="90" t="s">
        <v>25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1" ht="15.6" x14ac:dyDescent="0.25">
      <c r="A29" s="33"/>
      <c r="B29" s="33"/>
      <c r="C29" s="89" t="s">
        <v>23</v>
      </c>
      <c r="D29" s="89"/>
      <c r="G29" s="91"/>
      <c r="H29" s="91"/>
      <c r="I29" s="91"/>
      <c r="J29" s="91"/>
    </row>
    <row r="30" spans="1:11" x14ac:dyDescent="0.25">
      <c r="A30" s="1"/>
      <c r="B30" s="1"/>
      <c r="C30" s="1"/>
      <c r="D30" s="1"/>
    </row>
    <row r="31" spans="1:11" ht="14.4" x14ac:dyDescent="0.25">
      <c r="A31" s="75" t="s">
        <v>24</v>
      </c>
      <c r="B31" s="75"/>
    </row>
    <row r="32" spans="1:11" ht="14.4" x14ac:dyDescent="0.25">
      <c r="A32" s="75" t="s">
        <v>26</v>
      </c>
      <c r="B32" s="75"/>
    </row>
    <row r="33" spans="1:1" ht="14.4" x14ac:dyDescent="0.25">
      <c r="A33" s="5"/>
    </row>
    <row r="37" spans="1:1" customFormat="1" ht="14.4" x14ac:dyDescent="0.3"/>
    <row r="38" spans="1:1" customFormat="1" ht="14.4" x14ac:dyDescent="0.3"/>
    <row r="39" spans="1:1" customFormat="1" ht="14.4" x14ac:dyDescent="0.3"/>
    <row r="40" spans="1:1" customFormat="1" ht="14.4" x14ac:dyDescent="0.3"/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31:B31"/>
    <mergeCell ref="A32:B32"/>
    <mergeCell ref="A3:A8"/>
    <mergeCell ref="A24:A25"/>
    <mergeCell ref="A26:E26"/>
    <mergeCell ref="A16:A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workbookViewId="0">
      <selection activeCell="G2" sqref="G2"/>
    </sheetView>
  </sheetViews>
  <sheetFormatPr defaultColWidth="9.109375" defaultRowHeight="13.8" x14ac:dyDescent="0.25"/>
  <cols>
    <col min="1" max="1" width="16.109375" style="3" customWidth="1"/>
    <col min="2" max="2" width="24.6640625" style="3" customWidth="1"/>
    <col min="3" max="3" width="12.33203125" style="3" customWidth="1"/>
    <col min="4" max="4" width="46.33203125" style="3" customWidth="1"/>
    <col min="5" max="5" width="10.109375" style="3" bestFit="1" customWidth="1"/>
    <col min="6" max="6" width="9.109375" style="3"/>
    <col min="7" max="7" width="18.109375" style="3" customWidth="1"/>
    <col min="8" max="8" width="11.44140625" style="3" bestFit="1" customWidth="1"/>
    <col min="9" max="9" width="9.109375" style="3"/>
    <col min="10" max="10" width="10.88671875" style="3" customWidth="1"/>
    <col min="11" max="16384" width="9.109375" style="3"/>
  </cols>
  <sheetData>
    <row r="1" spans="1:12" ht="14.4" thickBot="1" x14ac:dyDescent="0.3">
      <c r="A1" s="1" t="s">
        <v>0</v>
      </c>
      <c r="B1" s="100" t="s">
        <v>22</v>
      </c>
      <c r="C1" s="101"/>
      <c r="D1" s="1" t="s">
        <v>1</v>
      </c>
      <c r="E1" s="43"/>
      <c r="F1" s="1" t="s">
        <v>2</v>
      </c>
      <c r="G1" s="102">
        <v>44462</v>
      </c>
      <c r="H1" s="103"/>
      <c r="I1" s="103"/>
      <c r="J1" s="103"/>
      <c r="K1" s="1"/>
      <c r="L1" s="1"/>
    </row>
    <row r="2" spans="1:12" ht="15" thickTop="1" thickBot="1" x14ac:dyDescent="0.3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s="64" customFormat="1" ht="30.75" customHeight="1" thickTop="1" x14ac:dyDescent="0.25">
      <c r="A3" s="96" t="s">
        <v>35</v>
      </c>
      <c r="B3" s="17" t="s">
        <v>31</v>
      </c>
      <c r="C3" s="18" t="s">
        <v>53</v>
      </c>
      <c r="D3" s="27" t="s">
        <v>54</v>
      </c>
      <c r="E3" s="19">
        <v>10</v>
      </c>
      <c r="F3" s="19">
        <v>4.8499999999999996</v>
      </c>
      <c r="G3" s="34">
        <f>736*0.01</f>
        <v>7.36</v>
      </c>
      <c r="H3" s="34">
        <f>20.55*0.01</f>
        <v>0.20550000000000002</v>
      </c>
      <c r="I3" s="34">
        <f>29.1*0.01</f>
        <v>0.29100000000000004</v>
      </c>
      <c r="J3" s="35">
        <f>97.89*0.01</f>
        <v>0.97889999999999999</v>
      </c>
    </row>
    <row r="4" spans="1:12" s="64" customFormat="1" x14ac:dyDescent="0.25">
      <c r="A4" s="97"/>
      <c r="B4" s="11" t="s">
        <v>13</v>
      </c>
      <c r="C4" s="9" t="s">
        <v>55</v>
      </c>
      <c r="D4" s="9" t="s">
        <v>56</v>
      </c>
      <c r="E4" s="22" t="s">
        <v>57</v>
      </c>
      <c r="F4" s="10">
        <v>41.3</v>
      </c>
      <c r="G4" s="10">
        <f>290*0.6</f>
        <v>174</v>
      </c>
      <c r="H4" s="10">
        <f>15.2*0.6</f>
        <v>9.1199999999999992</v>
      </c>
      <c r="I4" s="10">
        <f>23.1*0.6</f>
        <v>13.860000000000001</v>
      </c>
      <c r="J4" s="12">
        <f>5.12*0.6</f>
        <v>3.0720000000000001</v>
      </c>
    </row>
    <row r="5" spans="1:12" s="64" customFormat="1" x14ac:dyDescent="0.25">
      <c r="A5" s="97"/>
      <c r="B5" s="11" t="s">
        <v>17</v>
      </c>
      <c r="C5" s="9" t="s">
        <v>58</v>
      </c>
      <c r="D5" s="9" t="s">
        <v>59</v>
      </c>
      <c r="E5" s="22">
        <v>140</v>
      </c>
      <c r="F5" s="10">
        <v>13.66</v>
      </c>
      <c r="G5" s="39">
        <f>1625*0.14</f>
        <v>227.50000000000003</v>
      </c>
      <c r="H5" s="39">
        <f>57.32*0.14</f>
        <v>8.0248000000000008</v>
      </c>
      <c r="I5" s="39">
        <f>40.62*0.14</f>
        <v>5.6867999999999999</v>
      </c>
      <c r="J5" s="40">
        <f>257.61*0.14</f>
        <v>36.065400000000004</v>
      </c>
    </row>
    <row r="6" spans="1:12" ht="15.75" customHeight="1" x14ac:dyDescent="0.25">
      <c r="A6" s="97"/>
      <c r="B6" s="11" t="s">
        <v>18</v>
      </c>
      <c r="C6" s="9" t="s">
        <v>60</v>
      </c>
      <c r="D6" s="9" t="s">
        <v>71</v>
      </c>
      <c r="E6" s="22" t="s">
        <v>70</v>
      </c>
      <c r="F6" s="10">
        <v>5.48</v>
      </c>
      <c r="G6" s="10">
        <v>62</v>
      </c>
      <c r="H6" s="10">
        <v>0.13</v>
      </c>
      <c r="I6" s="10">
        <v>0.02</v>
      </c>
      <c r="J6" s="12">
        <v>16.7</v>
      </c>
    </row>
    <row r="7" spans="1:12" x14ac:dyDescent="0.25">
      <c r="A7" s="97"/>
      <c r="B7" s="11" t="s">
        <v>21</v>
      </c>
      <c r="C7" s="9" t="s">
        <v>61</v>
      </c>
      <c r="D7" s="9" t="s">
        <v>62</v>
      </c>
      <c r="E7" s="22">
        <v>50</v>
      </c>
      <c r="F7" s="10">
        <v>3.41</v>
      </c>
      <c r="G7" s="41">
        <f>283*0.5</f>
        <v>141.5</v>
      </c>
      <c r="H7" s="41">
        <f>7.9*0.5</f>
        <v>3.95</v>
      </c>
      <c r="I7" s="41">
        <f>8.12*0.5</f>
        <v>4.0599999999999996</v>
      </c>
      <c r="J7" s="41">
        <f>44.48*0.5</f>
        <v>22.24</v>
      </c>
    </row>
    <row r="8" spans="1:12" s="36" customFormat="1" ht="14.4" thickBot="1" x14ac:dyDescent="0.3">
      <c r="A8" s="97"/>
      <c r="B8" s="68" t="s">
        <v>14</v>
      </c>
      <c r="C8" s="69" t="s">
        <v>32</v>
      </c>
      <c r="D8" s="69" t="s">
        <v>33</v>
      </c>
      <c r="E8" s="70">
        <v>23.5</v>
      </c>
      <c r="F8" s="24">
        <v>0.8</v>
      </c>
      <c r="G8" s="24">
        <f>229.7*0.235</f>
        <v>53.979499999999994</v>
      </c>
      <c r="H8" s="15">
        <f>6.7*0.235</f>
        <v>1.5745</v>
      </c>
      <c r="I8" s="15">
        <f>1.1*0.235</f>
        <v>0.25850000000000001</v>
      </c>
      <c r="J8" s="16">
        <f>48.3*0.235</f>
        <v>11.350499999999998</v>
      </c>
    </row>
    <row r="9" spans="1:12" ht="16.2" thickBot="1" x14ac:dyDescent="0.3">
      <c r="A9" s="81" t="s">
        <v>15</v>
      </c>
      <c r="B9" s="82"/>
      <c r="C9" s="82"/>
      <c r="D9" s="82"/>
      <c r="E9" s="95"/>
      <c r="F9" s="25">
        <f>SUM(F3:F8)</f>
        <v>69.5</v>
      </c>
      <c r="G9" s="25">
        <f t="shared" ref="G9:J9" si="0">SUM(G3:G8)</f>
        <v>666.33950000000004</v>
      </c>
      <c r="H9" s="25">
        <f t="shared" si="0"/>
        <v>23.004799999999999</v>
      </c>
      <c r="I9" s="25">
        <f t="shared" si="0"/>
        <v>24.176300000000001</v>
      </c>
      <c r="J9" s="25">
        <f t="shared" si="0"/>
        <v>90.40679999999999</v>
      </c>
    </row>
    <row r="10" spans="1:12" ht="15" customHeight="1" x14ac:dyDescent="0.25">
      <c r="A10" s="99" t="s">
        <v>36</v>
      </c>
      <c r="B10" s="11" t="s">
        <v>13</v>
      </c>
      <c r="C10" s="66" t="s">
        <v>73</v>
      </c>
      <c r="D10" s="66" t="s">
        <v>74</v>
      </c>
      <c r="E10" s="71" t="s">
        <v>75</v>
      </c>
      <c r="F10" s="19">
        <v>19.559999999999999</v>
      </c>
      <c r="G10" s="34">
        <f>320-33-20</f>
        <v>267</v>
      </c>
      <c r="H10" s="34">
        <f>8.85-0.04-0</f>
        <v>8.81</v>
      </c>
      <c r="I10" s="34">
        <f>9.55-3.63-0</f>
        <v>5.9200000000000008</v>
      </c>
      <c r="J10" s="35">
        <f>49.84-0.07-4.49</f>
        <v>45.28</v>
      </c>
    </row>
    <row r="11" spans="1:12" x14ac:dyDescent="0.25">
      <c r="A11" s="97"/>
      <c r="B11" s="68" t="s">
        <v>18</v>
      </c>
      <c r="C11" s="9" t="s">
        <v>60</v>
      </c>
      <c r="D11" s="9" t="s">
        <v>71</v>
      </c>
      <c r="E11" s="22" t="s">
        <v>70</v>
      </c>
      <c r="F11" s="10">
        <v>5.48</v>
      </c>
      <c r="G11" s="10">
        <v>62</v>
      </c>
      <c r="H11" s="10">
        <v>0.13</v>
      </c>
      <c r="I11" s="10">
        <v>0.02</v>
      </c>
      <c r="J11" s="12">
        <v>16.7</v>
      </c>
    </row>
    <row r="12" spans="1:12" s="32" customFormat="1" ht="14.4" thickBot="1" x14ac:dyDescent="0.3">
      <c r="A12" s="97"/>
      <c r="B12" s="68" t="s">
        <v>14</v>
      </c>
      <c r="C12" s="9" t="s">
        <v>40</v>
      </c>
      <c r="D12" s="9" t="s">
        <v>72</v>
      </c>
      <c r="E12" s="22">
        <v>16.5</v>
      </c>
      <c r="F12" s="72">
        <v>1.96</v>
      </c>
      <c r="G12" s="72">
        <f>280*0.165</f>
        <v>46.2</v>
      </c>
      <c r="H12" s="72">
        <f>8*0.165</f>
        <v>1.32</v>
      </c>
      <c r="I12" s="72">
        <f>3*0.165</f>
        <v>0.495</v>
      </c>
      <c r="J12" s="73">
        <f>54*0.165</f>
        <v>8.91</v>
      </c>
    </row>
    <row r="13" spans="1:12" ht="16.2" thickBot="1" x14ac:dyDescent="0.3">
      <c r="A13" s="81" t="s">
        <v>15</v>
      </c>
      <c r="B13" s="82"/>
      <c r="C13" s="82"/>
      <c r="D13" s="82"/>
      <c r="E13" s="95"/>
      <c r="F13" s="74">
        <f>SUM(F10:F12)</f>
        <v>27</v>
      </c>
      <c r="G13" s="74">
        <f t="shared" ref="G13:J13" si="1">SUM(G10:G12)</f>
        <v>375.2</v>
      </c>
      <c r="H13" s="74">
        <f t="shared" si="1"/>
        <v>10.260000000000002</v>
      </c>
      <c r="I13" s="74">
        <f t="shared" si="1"/>
        <v>6.4350000000000005</v>
      </c>
      <c r="J13" s="74">
        <f t="shared" si="1"/>
        <v>70.89</v>
      </c>
    </row>
    <row r="14" spans="1:12" x14ac:dyDescent="0.25">
      <c r="A14" s="77" t="s">
        <v>38</v>
      </c>
      <c r="B14" s="65" t="s">
        <v>31</v>
      </c>
      <c r="C14" s="66" t="s">
        <v>76</v>
      </c>
      <c r="D14" s="66" t="s">
        <v>77</v>
      </c>
      <c r="E14" s="71" t="s">
        <v>78</v>
      </c>
      <c r="F14" s="19">
        <v>4.38</v>
      </c>
      <c r="G14" s="34">
        <v>93.5</v>
      </c>
      <c r="H14" s="34">
        <v>1.66</v>
      </c>
      <c r="I14" s="34">
        <v>0.6</v>
      </c>
      <c r="J14" s="35">
        <v>20.55</v>
      </c>
    </row>
    <row r="15" spans="1:12" ht="14.4" thickBot="1" x14ac:dyDescent="0.3">
      <c r="A15" s="77"/>
      <c r="B15" s="68" t="s">
        <v>18</v>
      </c>
      <c r="C15" s="69" t="s">
        <v>19</v>
      </c>
      <c r="D15" s="69" t="s">
        <v>20</v>
      </c>
      <c r="E15" s="70" t="s">
        <v>34</v>
      </c>
      <c r="F15" s="24">
        <v>2.62</v>
      </c>
      <c r="G15" s="24">
        <v>60</v>
      </c>
      <c r="H15" s="24">
        <v>7.0000000000000007E-2</v>
      </c>
      <c r="I15" s="24">
        <v>0.02</v>
      </c>
      <c r="J15" s="28">
        <v>15</v>
      </c>
    </row>
    <row r="16" spans="1:12" ht="16.2" thickBot="1" x14ac:dyDescent="0.3">
      <c r="A16" s="81" t="s">
        <v>15</v>
      </c>
      <c r="B16" s="82"/>
      <c r="C16" s="82"/>
      <c r="D16" s="82"/>
      <c r="E16" s="95"/>
      <c r="F16" s="25">
        <f>SUM(F14:F15)</f>
        <v>7</v>
      </c>
      <c r="G16" s="25">
        <f t="shared" ref="G16:J16" si="2">SUM(G14:G15)</f>
        <v>153.5</v>
      </c>
      <c r="H16" s="25">
        <f t="shared" si="2"/>
        <v>1.73</v>
      </c>
      <c r="I16" s="25">
        <f t="shared" si="2"/>
        <v>0.62</v>
      </c>
      <c r="J16" s="25">
        <f t="shared" si="2"/>
        <v>35.549999999999997</v>
      </c>
    </row>
    <row r="17" spans="1:10" x14ac:dyDescent="0.25">
      <c r="A17" s="80" t="s">
        <v>37</v>
      </c>
      <c r="B17" s="26" t="s">
        <v>16</v>
      </c>
      <c r="C17" s="27" t="s">
        <v>64</v>
      </c>
      <c r="D17" s="27" t="s">
        <v>65</v>
      </c>
      <c r="E17" s="19">
        <v>250</v>
      </c>
      <c r="F17" s="20">
        <v>7.9</v>
      </c>
      <c r="G17" s="20">
        <f>359*0.25</f>
        <v>89.75</v>
      </c>
      <c r="H17" s="20">
        <f>7.06*0.25</f>
        <v>1.7649999999999999</v>
      </c>
      <c r="I17" s="20">
        <f>19.8*0.25</f>
        <v>4.95</v>
      </c>
      <c r="J17" s="21">
        <f>31.61*0.25</f>
        <v>7.9024999999999999</v>
      </c>
    </row>
    <row r="18" spans="1:10" x14ac:dyDescent="0.25">
      <c r="A18" s="80"/>
      <c r="B18" s="11" t="s">
        <v>13</v>
      </c>
      <c r="C18" s="61" t="s">
        <v>48</v>
      </c>
      <c r="D18" s="60" t="s">
        <v>47</v>
      </c>
      <c r="E18" s="22">
        <v>65</v>
      </c>
      <c r="F18" s="10">
        <v>23.65</v>
      </c>
      <c r="G18" s="41">
        <f>132.2/75*65</f>
        <v>114.57333333333332</v>
      </c>
      <c r="H18" s="41">
        <f>9.5/75*65</f>
        <v>8.2333333333333343</v>
      </c>
      <c r="I18" s="41">
        <f>5.6/75*65</f>
        <v>4.8533333333333326</v>
      </c>
      <c r="J18" s="47">
        <f>10.9/75*65</f>
        <v>9.4466666666666672</v>
      </c>
    </row>
    <row r="19" spans="1:10" x14ac:dyDescent="0.25">
      <c r="A19" s="80"/>
      <c r="B19" s="11" t="s">
        <v>17</v>
      </c>
      <c r="C19" s="61" t="s">
        <v>50</v>
      </c>
      <c r="D19" s="63" t="s">
        <v>49</v>
      </c>
      <c r="E19" s="22">
        <v>100</v>
      </c>
      <c r="F19" s="10">
        <v>10.039999999999999</v>
      </c>
      <c r="G19" s="39">
        <f>915*0.1</f>
        <v>91.5</v>
      </c>
      <c r="H19" s="39">
        <f>20.43*0.1</f>
        <v>2.0430000000000001</v>
      </c>
      <c r="I19" s="39">
        <f>32.01*0.1</f>
        <v>3.2010000000000001</v>
      </c>
      <c r="J19" s="40">
        <f>136.26*0.1</f>
        <v>13.625999999999999</v>
      </c>
    </row>
    <row r="20" spans="1:10" x14ac:dyDescent="0.25">
      <c r="A20" s="80"/>
      <c r="B20" s="11" t="s">
        <v>18</v>
      </c>
      <c r="C20" s="9" t="s">
        <v>19</v>
      </c>
      <c r="D20" s="9" t="s">
        <v>20</v>
      </c>
      <c r="E20" s="22" t="s">
        <v>34</v>
      </c>
      <c r="F20" s="10">
        <v>2.62</v>
      </c>
      <c r="G20" s="10">
        <v>60</v>
      </c>
      <c r="H20" s="10">
        <v>7.0000000000000007E-2</v>
      </c>
      <c r="I20" s="10">
        <v>0.02</v>
      </c>
      <c r="J20" s="12">
        <v>15</v>
      </c>
    </row>
    <row r="21" spans="1:10" ht="14.4" thickBot="1" x14ac:dyDescent="0.3">
      <c r="A21" s="80"/>
      <c r="B21" s="13" t="s">
        <v>14</v>
      </c>
      <c r="C21" s="14" t="s">
        <v>32</v>
      </c>
      <c r="D21" s="14" t="s">
        <v>33</v>
      </c>
      <c r="E21" s="23">
        <v>23</v>
      </c>
      <c r="F21" s="24">
        <v>0.79</v>
      </c>
      <c r="G21" s="24">
        <f>229.7*0.23</f>
        <v>52.831000000000003</v>
      </c>
      <c r="H21" s="15">
        <f>6.7*0.23</f>
        <v>1.5410000000000001</v>
      </c>
      <c r="I21" s="15">
        <f>1.1*0.23</f>
        <v>0.25300000000000006</v>
      </c>
      <c r="J21" s="16">
        <f>48.3*0.23</f>
        <v>11.109</v>
      </c>
    </row>
    <row r="22" spans="1:10" ht="16.2" thickBot="1" x14ac:dyDescent="0.3">
      <c r="A22" s="81" t="s">
        <v>15</v>
      </c>
      <c r="B22" s="82"/>
      <c r="C22" s="82"/>
      <c r="D22" s="82"/>
      <c r="E22" s="83"/>
      <c r="F22" s="29">
        <f>SUM(F17:F21)</f>
        <v>44.999999999999993</v>
      </c>
      <c r="G22" s="29">
        <f t="shared" ref="G22:J22" si="3">SUM(G17:G21)</f>
        <v>408.65433333333334</v>
      </c>
      <c r="H22" s="29">
        <f t="shared" si="3"/>
        <v>13.652333333333335</v>
      </c>
      <c r="I22" s="29">
        <f t="shared" si="3"/>
        <v>13.277333333333333</v>
      </c>
      <c r="J22" s="29">
        <f t="shared" si="3"/>
        <v>57.084166666666668</v>
      </c>
    </row>
    <row r="23" spans="1:10" x14ac:dyDescent="0.25">
      <c r="A23" s="98" t="s">
        <v>39</v>
      </c>
      <c r="B23" s="26" t="s">
        <v>31</v>
      </c>
      <c r="C23" s="27" t="s">
        <v>42</v>
      </c>
      <c r="D23" s="27" t="s">
        <v>63</v>
      </c>
      <c r="E23" s="19">
        <v>20</v>
      </c>
      <c r="F23" s="20">
        <v>2.73</v>
      </c>
      <c r="G23" s="20">
        <f>6*0.4</f>
        <v>2.4000000000000004</v>
      </c>
      <c r="H23" s="20">
        <f>0.35*0.4</f>
        <v>0.13999999999999999</v>
      </c>
      <c r="I23" s="20">
        <f>0.05*0.4</f>
        <v>2.0000000000000004E-2</v>
      </c>
      <c r="J23" s="21">
        <f>0.95*0.4</f>
        <v>0.38</v>
      </c>
    </row>
    <row r="24" spans="1:10" x14ac:dyDescent="0.25">
      <c r="A24" s="98"/>
      <c r="B24" s="11" t="s">
        <v>16</v>
      </c>
      <c r="C24" s="9" t="s">
        <v>64</v>
      </c>
      <c r="D24" s="9" t="s">
        <v>65</v>
      </c>
      <c r="E24" s="22">
        <v>250</v>
      </c>
      <c r="F24" s="10">
        <v>7.9</v>
      </c>
      <c r="G24" s="10">
        <f>359*0.25</f>
        <v>89.75</v>
      </c>
      <c r="H24" s="10">
        <f>7.06*0.25</f>
        <v>1.7649999999999999</v>
      </c>
      <c r="I24" s="10">
        <f>19.8*0.25</f>
        <v>4.95</v>
      </c>
      <c r="J24" s="12">
        <f>31.61*0.25</f>
        <v>7.9024999999999999</v>
      </c>
    </row>
    <row r="25" spans="1:10" s="64" customFormat="1" x14ac:dyDescent="0.25">
      <c r="A25" s="98"/>
      <c r="B25" s="11" t="s">
        <v>13</v>
      </c>
      <c r="C25" s="61" t="s">
        <v>48</v>
      </c>
      <c r="D25" s="60" t="s">
        <v>47</v>
      </c>
      <c r="E25" s="22">
        <v>65</v>
      </c>
      <c r="F25" s="10">
        <v>23.65</v>
      </c>
      <c r="G25" s="41">
        <f>132.2/75*65</f>
        <v>114.57333333333332</v>
      </c>
      <c r="H25" s="41">
        <f>9.5/75*65</f>
        <v>8.2333333333333343</v>
      </c>
      <c r="I25" s="41">
        <f>5.6/75*65</f>
        <v>4.8533333333333326</v>
      </c>
      <c r="J25" s="41">
        <f>10.9/75*65</f>
        <v>9.4466666666666672</v>
      </c>
    </row>
    <row r="26" spans="1:10" x14ac:dyDescent="0.25">
      <c r="A26" s="98"/>
      <c r="B26" s="11" t="s">
        <v>17</v>
      </c>
      <c r="C26" s="61" t="s">
        <v>50</v>
      </c>
      <c r="D26" s="63" t="s">
        <v>49</v>
      </c>
      <c r="E26" s="22">
        <v>140</v>
      </c>
      <c r="F26" s="10">
        <v>14.05</v>
      </c>
      <c r="G26" s="39">
        <f>915*0.14</f>
        <v>128.10000000000002</v>
      </c>
      <c r="H26" s="39">
        <f>20.43*0.14</f>
        <v>2.8602000000000003</v>
      </c>
      <c r="I26" s="39">
        <f>32.01*0.14</f>
        <v>4.4813999999999998</v>
      </c>
      <c r="J26" s="40">
        <f>136.26*0.14</f>
        <v>19.0764</v>
      </c>
    </row>
    <row r="27" spans="1:10" ht="15.6" x14ac:dyDescent="0.25">
      <c r="A27" s="98"/>
      <c r="B27" s="11" t="s">
        <v>51</v>
      </c>
      <c r="C27" s="61" t="s">
        <v>67</v>
      </c>
      <c r="D27" s="62" t="s">
        <v>66</v>
      </c>
      <c r="E27" s="22">
        <v>200</v>
      </c>
      <c r="F27" s="10">
        <v>17.260000000000002</v>
      </c>
      <c r="G27" s="10">
        <f>574*0.2</f>
        <v>114.80000000000001</v>
      </c>
      <c r="H27" s="37">
        <f>3.9*0.2</f>
        <v>0.78</v>
      </c>
      <c r="I27" s="37">
        <f>0.23*0.2</f>
        <v>4.6000000000000006E-2</v>
      </c>
      <c r="J27" s="38">
        <f>138.15*0.2</f>
        <v>27.630000000000003</v>
      </c>
    </row>
    <row r="28" spans="1:10" x14ac:dyDescent="0.25">
      <c r="A28" s="98"/>
      <c r="B28" s="11" t="s">
        <v>21</v>
      </c>
      <c r="C28" s="9" t="s">
        <v>45</v>
      </c>
      <c r="D28" s="9" t="s">
        <v>46</v>
      </c>
      <c r="E28" s="22">
        <v>50</v>
      </c>
      <c r="F28" s="10">
        <v>3.16</v>
      </c>
      <c r="G28" s="41">
        <f>321*0.5</f>
        <v>160.5</v>
      </c>
      <c r="H28" s="41">
        <f>6.78*0.5</f>
        <v>3.39</v>
      </c>
      <c r="I28" s="41">
        <f>13.96*0.5</f>
        <v>6.98</v>
      </c>
      <c r="J28" s="41">
        <f>42.14*0.5</f>
        <v>21.07</v>
      </c>
    </row>
    <row r="29" spans="1:10" ht="14.4" thickBot="1" x14ac:dyDescent="0.3">
      <c r="A29" s="98"/>
      <c r="B29" s="54" t="s">
        <v>14</v>
      </c>
      <c r="C29" s="55" t="s">
        <v>32</v>
      </c>
      <c r="D29" s="55" t="s">
        <v>33</v>
      </c>
      <c r="E29" s="56">
        <v>22</v>
      </c>
      <c r="F29" s="57">
        <v>0.75</v>
      </c>
      <c r="G29" s="57">
        <f>229.7*0.22</f>
        <v>50.533999999999999</v>
      </c>
      <c r="H29" s="58">
        <f>6.7*0.22</f>
        <v>1.474</v>
      </c>
      <c r="I29" s="58">
        <f>1.1*0.22</f>
        <v>0.24200000000000002</v>
      </c>
      <c r="J29" s="59">
        <f>48.3*0.22</f>
        <v>10.625999999999999</v>
      </c>
    </row>
    <row r="30" spans="1:10" ht="16.2" thickBot="1" x14ac:dyDescent="0.3">
      <c r="A30" s="81" t="s">
        <v>15</v>
      </c>
      <c r="B30" s="82"/>
      <c r="C30" s="82"/>
      <c r="D30" s="82"/>
      <c r="E30" s="83"/>
      <c r="F30" s="29">
        <f>SUM(F23:F29)</f>
        <v>69.5</v>
      </c>
      <c r="G30" s="29">
        <f t="shared" ref="G30:J30" si="4">SUM(G23:G29)</f>
        <v>660.65733333333344</v>
      </c>
      <c r="H30" s="29">
        <f t="shared" si="4"/>
        <v>18.642533333333333</v>
      </c>
      <c r="I30" s="29">
        <f t="shared" si="4"/>
        <v>21.572733333333332</v>
      </c>
      <c r="J30" s="29">
        <f t="shared" si="4"/>
        <v>96.131566666666657</v>
      </c>
    </row>
    <row r="32" spans="1:10" ht="14.4" thickBot="1" x14ac:dyDescent="0.3">
      <c r="A32" s="90" t="s">
        <v>25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1:10" ht="15.6" x14ac:dyDescent="0.25">
      <c r="A33" s="33"/>
      <c r="B33" s="33"/>
      <c r="C33" s="89" t="s">
        <v>23</v>
      </c>
      <c r="D33" s="89"/>
      <c r="G33" s="91"/>
      <c r="H33" s="91"/>
      <c r="I33" s="91"/>
      <c r="J33" s="91"/>
    </row>
    <row r="34" spans="1:10" x14ac:dyDescent="0.25">
      <c r="A34" s="1"/>
      <c r="B34" s="1"/>
      <c r="C34" s="1"/>
      <c r="D34" s="1"/>
    </row>
    <row r="35" spans="1:10" ht="14.4" x14ac:dyDescent="0.25">
      <c r="A35" s="75" t="s">
        <v>24</v>
      </c>
      <c r="B35" s="75"/>
    </row>
    <row r="36" spans="1:10" ht="14.4" x14ac:dyDescent="0.25">
      <c r="A36" s="75" t="s">
        <v>26</v>
      </c>
      <c r="B36" s="75"/>
    </row>
    <row r="37" spans="1:10" ht="14.4" x14ac:dyDescent="0.25">
      <c r="A37" s="5"/>
    </row>
  </sheetData>
  <mergeCells count="17">
    <mergeCell ref="B1:C1"/>
    <mergeCell ref="G1:J1"/>
    <mergeCell ref="A9:E9"/>
    <mergeCell ref="A13:E13"/>
    <mergeCell ref="G33:J33"/>
    <mergeCell ref="A3:A8"/>
    <mergeCell ref="A35:B35"/>
    <mergeCell ref="A36:B36"/>
    <mergeCell ref="A14:A15"/>
    <mergeCell ref="A16:E16"/>
    <mergeCell ref="A23:A29"/>
    <mergeCell ref="A30:E30"/>
    <mergeCell ref="A32:J32"/>
    <mergeCell ref="C33:D33"/>
    <mergeCell ref="A22:E22"/>
    <mergeCell ref="A17:A21"/>
    <mergeCell ref="A10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23.09 1-4 кл</vt:lpstr>
      <vt:lpstr>23.09 5-11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2021-09-26T13:21:43Z</dcterms:modified>
</cp:coreProperties>
</file>