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04.10 1-4 кл" sheetId="1" r:id="rId1"/>
    <sheet name="04.10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 l="1"/>
  <c r="I29" i="2"/>
  <c r="H29" i="2"/>
  <c r="G29" i="2"/>
  <c r="J28" i="2"/>
  <c r="I28" i="2"/>
  <c r="H28" i="2"/>
  <c r="G28" i="2"/>
  <c r="J26" i="2"/>
  <c r="I26" i="2"/>
  <c r="H26" i="2"/>
  <c r="G26" i="2"/>
  <c r="J25" i="2"/>
  <c r="I25" i="2"/>
  <c r="H25" i="2"/>
  <c r="G25" i="2"/>
  <c r="J24" i="2"/>
  <c r="I24" i="2"/>
  <c r="H24" i="2"/>
  <c r="G24" i="2"/>
  <c r="J22" i="2"/>
  <c r="I22" i="2"/>
  <c r="H22" i="2"/>
  <c r="G22" i="2"/>
  <c r="J20" i="2"/>
  <c r="I20" i="2"/>
  <c r="H20" i="2"/>
  <c r="G20" i="2"/>
  <c r="J19" i="2"/>
  <c r="I19" i="2"/>
  <c r="H19" i="2"/>
  <c r="G19" i="2"/>
  <c r="J18" i="2"/>
  <c r="I18" i="2"/>
  <c r="H18" i="2"/>
  <c r="G18" i="2"/>
  <c r="G14" i="2"/>
  <c r="H14" i="2"/>
  <c r="I14" i="2"/>
  <c r="J14" i="2"/>
  <c r="F14" i="2"/>
  <c r="J13" i="2"/>
  <c r="I13" i="2"/>
  <c r="H13" i="2"/>
  <c r="G13" i="2"/>
  <c r="J11" i="2"/>
  <c r="I11" i="2"/>
  <c r="H11" i="2"/>
  <c r="G11" i="2"/>
  <c r="J10" i="2"/>
  <c r="I10" i="2"/>
  <c r="H10" i="2"/>
  <c r="G10" i="2"/>
  <c r="F17" i="2"/>
  <c r="J15" i="2"/>
  <c r="J17" i="2" s="1"/>
  <c r="I15" i="2"/>
  <c r="I17" i="2" s="1"/>
  <c r="H15" i="2"/>
  <c r="H17" i="2" s="1"/>
  <c r="G15" i="2"/>
  <c r="G17" i="2" s="1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J4" i="2"/>
  <c r="I4" i="2"/>
  <c r="H4" i="2"/>
  <c r="J3" i="2"/>
  <c r="I3" i="2"/>
  <c r="H3" i="2"/>
  <c r="G3" i="2"/>
  <c r="G9" i="1"/>
  <c r="H9" i="1"/>
  <c r="I9" i="1"/>
  <c r="J9" i="1"/>
  <c r="F9" i="1"/>
  <c r="G15" i="1"/>
  <c r="H15" i="1"/>
  <c r="I15" i="1"/>
  <c r="J15" i="1"/>
  <c r="F15" i="1"/>
  <c r="G22" i="1"/>
  <c r="H22" i="1"/>
  <c r="I22" i="1"/>
  <c r="J22" i="1"/>
  <c r="F22" i="1"/>
  <c r="J20" i="1"/>
  <c r="I20" i="1"/>
  <c r="H20" i="1"/>
  <c r="G20" i="1"/>
  <c r="J21" i="1"/>
  <c r="I21" i="1"/>
  <c r="H21" i="1"/>
  <c r="G21" i="1"/>
  <c r="J16" i="1"/>
  <c r="I16" i="1"/>
  <c r="H16" i="1"/>
  <c r="G16" i="1"/>
  <c r="J14" i="1"/>
  <c r="I14" i="1"/>
  <c r="H14" i="1"/>
  <c r="G14" i="1"/>
  <c r="J11" i="1"/>
  <c r="I11" i="1"/>
  <c r="H11" i="1"/>
  <c r="G11" i="1"/>
  <c r="J25" i="1"/>
  <c r="I25" i="1"/>
  <c r="H25" i="1"/>
  <c r="G25" i="1"/>
  <c r="J8" i="1"/>
  <c r="I8" i="1"/>
  <c r="H8" i="1"/>
  <c r="G8" i="1"/>
  <c r="J7" i="1"/>
  <c r="I7" i="1"/>
  <c r="H7" i="1"/>
  <c r="G7" i="1"/>
  <c r="I3" i="1"/>
  <c r="H3" i="1"/>
  <c r="G3" i="1"/>
  <c r="G26" i="1" l="1"/>
  <c r="H26" i="1"/>
  <c r="I26" i="1"/>
  <c r="J26" i="1"/>
  <c r="F26" i="1"/>
  <c r="F30" i="2"/>
  <c r="F23" i="2"/>
  <c r="G9" i="2"/>
  <c r="H9" i="2"/>
  <c r="I9" i="2"/>
  <c r="J9" i="2"/>
  <c r="F9" i="2"/>
  <c r="J30" i="2" l="1"/>
  <c r="I30" i="2"/>
  <c r="H30" i="2"/>
  <c r="G30" i="2"/>
  <c r="J23" i="2"/>
  <c r="I23" i="2"/>
  <c r="H23" i="2"/>
  <c r="G23" i="2"/>
  <c r="G23" i="1"/>
  <c r="J23" i="1"/>
  <c r="I23" i="1"/>
  <c r="H23" i="1"/>
  <c r="J24" i="1" l="1"/>
  <c r="I24" i="1"/>
  <c r="H24" i="1"/>
  <c r="G24" i="1"/>
  <c r="J12" i="1"/>
  <c r="I12" i="1"/>
  <c r="H12" i="1"/>
  <c r="G12" i="1"/>
  <c r="J18" i="1"/>
  <c r="I18" i="1"/>
  <c r="H18" i="1"/>
  <c r="G18" i="1"/>
  <c r="J17" i="1"/>
  <c r="I17" i="1"/>
  <c r="H17" i="1"/>
  <c r="G17" i="1"/>
  <c r="J10" i="1"/>
  <c r="I10" i="1"/>
  <c r="H10" i="1"/>
  <c r="G10" i="1"/>
  <c r="J3" i="1"/>
  <c r="G6" i="1"/>
  <c r="H6" i="1"/>
  <c r="I6" i="1"/>
  <c r="J6" i="1"/>
  <c r="G5" i="1"/>
  <c r="J5" i="1"/>
  <c r="I5" i="1"/>
  <c r="H5" i="1"/>
  <c r="J4" i="1"/>
  <c r="I4" i="1"/>
  <c r="H4" i="1"/>
</calcChain>
</file>

<file path=xl/sharedStrings.xml><?xml version="1.0" encoding="utf-8"?>
<sst xmlns="http://schemas.openxmlformats.org/spreadsheetml/2006/main" count="198" uniqueCount="72">
  <si>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</si>
  <si>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</si>
  <si>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</si>
  <si>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</si>
  <si>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</si>
  <si>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</si>
  <si>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</si>
  <si>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</si>
  <si>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</si>
  <si>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</si>
  <si>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</si>
  <si>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</si>
  <si>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</si>
  <si>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</si>
  <si>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</si>
  <si>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</si>
  <si>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</si>
  <si>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</si>
  <si>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</si>
  <si>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</si>
  <si>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</si>
  <si>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</si>
  <si>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Фрукт</t>
  </si>
  <si>
    <t>№338-2015г</t>
  </si>
  <si>
    <t>Фрукт свежий (яблоко)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</si>
  <si>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</si>
  <si>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</si>
  <si>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</si>
  <si>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</si>
  <si>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</si>
  <si>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</si>
  <si>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</si>
  <si>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</si>
  <si>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</si>
  <si>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</si>
  <si>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№45-2015г.</t>
  </si>
  <si>
    <t>50/10</t>
  </si>
  <si>
    <t>Салат из белокочанной капусты с морковью с горошком зелёны консервированным</t>
  </si>
  <si>
    <t>№210-2015г.</t>
  </si>
  <si>
    <t>Омлет натуральный</t>
  </si>
  <si>
    <t>№379-2015г.</t>
  </si>
  <si>
    <t>Кофейный напиток с молоком</t>
  </si>
  <si>
    <t>№15-2015г.</t>
  </si>
  <si>
    <t>Сыр "Российский" (порциями)</t>
  </si>
  <si>
    <t>ТТК№5</t>
  </si>
  <si>
    <t>Батон "Домашний"</t>
  </si>
  <si>
    <t>№102-2015г.</t>
  </si>
  <si>
    <t>Суп картофельный с горохом с зеленью</t>
  </si>
  <si>
    <t>250/2</t>
  </si>
  <si>
    <t>№295-2015г.</t>
  </si>
  <si>
    <t>Котлета рубленая из бройлер-цыплят</t>
  </si>
  <si>
    <t>№304-2015г.</t>
  </si>
  <si>
    <t>Рис отварной</t>
  </si>
  <si>
    <t>200/15</t>
  </si>
  <si>
    <t>№338-2015г.</t>
  </si>
  <si>
    <t>Апельсин свежий (порционно)</t>
  </si>
  <si>
    <t>№3-2015г.</t>
  </si>
  <si>
    <t>Бутерброд с сыром</t>
  </si>
  <si>
    <t>10/4/30</t>
  </si>
  <si>
    <t>Завтрак 5-11 кл с доплатой 62,50 руб. и льготники с доплатой 42,50 руб. 1 смена</t>
  </si>
  <si>
    <t>Завтрак льготный 5-11 кл</t>
  </si>
  <si>
    <t>8/30</t>
  </si>
  <si>
    <t>№1-2015г.</t>
  </si>
  <si>
    <t>Бутерброд с маслом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</si>
  <si>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</si>
  <si>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</si>
  <si>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</si>
  <si>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№422-2015г.</t>
  </si>
  <si>
    <t>Булочка ванильная</t>
  </si>
  <si>
    <t>ПР</t>
  </si>
  <si>
    <t>Батон пшеничный</t>
  </si>
  <si>
    <t>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</si>
</sst>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2" fontId="1" fillId="0" borderId="21" xfId="0" applyNumberFormat="1" applyFont="1" applyBorder="1" applyAlignment="1">
      <alignment horizontal="right" vertical="center" wrapText="1"/>
    </xf>
    <xf numFmtId="2" fontId="1" fillId="0" borderId="21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2" fontId="1" fillId="0" borderId="23" xfId="0" applyNumberFormat="1" applyFont="1" applyBorder="1" applyAlignment="1">
      <alignment vertical="center" wrapText="1"/>
    </xf>
    <xf numFmtId="2" fontId="1" fillId="0" borderId="24" xfId="0" applyNumberFormat="1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2" fontId="1" fillId="0" borderId="18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2" fontId="1" fillId="0" borderId="23" xfId="0" applyNumberFormat="1" applyFont="1" applyBorder="1" applyAlignment="1">
      <alignment horizontal="right" vertical="center" wrapText="1"/>
    </xf>
    <xf numFmtId="2" fontId="2" fillId="0" borderId="14" xfId="0" applyNumberFormat="1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2" fontId="1" fillId="0" borderId="24" xfId="0" applyNumberFormat="1" applyFont="1" applyBorder="1" applyAlignment="1">
      <alignment horizontal="right"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0" xfId="0" applyFont="1" applyBorder="1" applyAlignment="1">
      <alignment horizontal="right" vertical="center" wrapText="1"/>
    </xf>
    <xf numFmtId="2" fontId="1" fillId="0" borderId="30" xfId="0" applyNumberFormat="1" applyFont="1" applyBorder="1" applyAlignment="1">
      <alignment horizontal="right" vertical="center" wrapText="1"/>
    </xf>
    <xf numFmtId="2" fontId="1" fillId="0" borderId="30" xfId="0" applyNumberFormat="1" applyFont="1" applyBorder="1" applyAlignment="1">
      <alignment vertical="center" wrapText="1"/>
    </xf>
    <xf numFmtId="2" fontId="1" fillId="0" borderId="31" xfId="0" applyNumberFormat="1" applyFont="1" applyBorder="1" applyAlignment="1">
      <alignment vertical="center" wrapText="1"/>
    </xf>
    <xf numFmtId="2" fontId="2" fillId="0" borderId="34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right" vertical="center" wrapText="1"/>
    </xf>
    <xf numFmtId="2" fontId="1" fillId="0" borderId="18" xfId="0" applyNumberFormat="1" applyFont="1" applyBorder="1" applyAlignment="1">
      <alignment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4" fontId="1" fillId="0" borderId="18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/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14" fontId="4" fillId="0" borderId="3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1" fillId="0" borderId="2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35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38" xfId="0" applyFont="1" applyBorder="1" applyAlignment="1">
      <alignment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4" workbookViewId="0">
      <selection activeCell="B16" sqref="B16:J21"/>
    </sheetView>
  </sheetViews>
  <sheetFormatPr defaultRowHeight="15" x14ac:dyDescent="0.25"/>
  <cols>
    <col min="1" max="1" width="19.5703125" style="3" customWidth="1"/>
    <col min="2" max="2" width="24.7109375" style="3" customWidth="1"/>
    <col min="3" max="3" width="12.28515625" style="3" customWidth="1"/>
    <col min="4" max="4" width="46.28515625" style="3" customWidth="1"/>
    <col min="5" max="5" width="10.140625" style="3" bestFit="1" customWidth="1"/>
    <col min="6" max="6" width="9.140625" style="3"/>
    <col min="7" max="7" width="18.140625" style="3" customWidth="1"/>
    <col min="8" max="8" width="11.42578125" style="3" bestFit="1" customWidth="1"/>
    <col min="9" max="9" width="9.140625" style="3"/>
    <col min="10" max="10" width="10.85546875" style="3" customWidth="1"/>
    <col min="11" max="16384" width="9.140625" style="3"/>
  </cols>
  <sheetData>
    <row r="1" spans="1:12" ht="15.75" thickBot="1" x14ac:dyDescent="0.3">
      <c r="A1" s="80" t="s">
        <v>0</v>
      </c>
      <c r="B1" s="48" t="s">
        <v>25</v>
      </c>
      <c r="C1" s="49"/>
      <c r="D1" s="1" t="s">
        <v>1</v>
      </c>
      <c r="E1" s="83"/>
      <c r="F1" s="1" t="s">
        <v>2</v>
      </c>
      <c r="G1" s="50">
        <v>44473</v>
      </c>
      <c r="H1" s="51"/>
      <c r="I1" s="51"/>
      <c r="J1" s="52"/>
      <c r="K1" s="1"/>
      <c r="L1" s="1"/>
    </row>
    <row r="2" spans="1:12" ht="16.5" thickTop="1" thickBot="1" x14ac:dyDescent="0.3">
      <c r="A2" s="81" t="s">
        <v>3</v>
      </c>
      <c r="B2" s="8" t="s">
        <v>4</v>
      </c>
      <c r="C2" s="82" t="s">
        <v>5</v>
      </c>
      <c r="D2" s="81" t="s">
        <v>6</v>
      </c>
      <c r="E2" s="81" t="s">
        <v>7</v>
      </c>
      <c r="F2" s="7" t="s">
        <v>8</v>
      </c>
      <c r="G2" s="8" t="s">
        <v>9</v>
      </c>
      <c r="H2" s="8" t="s">
        <v>10</v>
      </c>
      <c r="I2" s="8" t="s">
        <v>11</v>
      </c>
      <c r="J2" s="46" t="s">
        <v>12</v>
      </c>
    </row>
    <row r="3" spans="1:12" x14ac:dyDescent="0.25">
      <c r="A3" s="77" t="s">
        <v>30</v>
      </c>
      <c r="B3" s="20" t="s">
        <v>34</v>
      </c>
      <c r="C3" s="21" t="s">
        <v>42</v>
      </c>
      <c r="D3" s="21" t="s">
        <v>43</v>
      </c>
      <c r="E3" s="22">
        <v>30</v>
      </c>
      <c r="F3" s="22">
        <v>24.11</v>
      </c>
      <c r="G3" s="23">
        <f>3.6*30</f>
        <v>108</v>
      </c>
      <c r="H3" s="23">
        <f>6.96/30*30</f>
        <v>6.96</v>
      </c>
      <c r="I3" s="23">
        <f>8.85/30*30</f>
        <v>8.85</v>
      </c>
      <c r="J3" s="24">
        <f>0</f>
        <v>0</v>
      </c>
    </row>
    <row r="4" spans="1:12" ht="31.5" customHeight="1" x14ac:dyDescent="0.25">
      <c r="A4" s="78"/>
      <c r="B4" s="13" t="s">
        <v>34</v>
      </c>
      <c r="C4" s="10" t="s">
        <v>35</v>
      </c>
      <c r="D4" s="10" t="s">
        <v>37</v>
      </c>
      <c r="E4" s="25" t="s">
        <v>36</v>
      </c>
      <c r="F4" s="12">
        <v>10.1</v>
      </c>
      <c r="G4" s="12">
        <v>34.200000000000003</v>
      </c>
      <c r="H4" s="12">
        <f>13.12*0.05+3.1*0.1</f>
        <v>0.96600000000000008</v>
      </c>
      <c r="I4" s="12">
        <f>32.49*0.05+0.2*0.1</f>
        <v>1.6445000000000003</v>
      </c>
      <c r="J4" s="14">
        <f>64.66*0.05+6.5*0.1</f>
        <v>3.883</v>
      </c>
    </row>
    <row r="5" spans="1:12" x14ac:dyDescent="0.25">
      <c r="A5" s="78"/>
      <c r="B5" s="13" t="s">
        <v>13</v>
      </c>
      <c r="C5" s="10" t="s">
        <v>38</v>
      </c>
      <c r="D5" s="10" t="s">
        <v>39</v>
      </c>
      <c r="E5" s="25">
        <v>105</v>
      </c>
      <c r="F5" s="12">
        <v>22.89</v>
      </c>
      <c r="G5" s="12">
        <f>79*2</f>
        <v>158</v>
      </c>
      <c r="H5" s="12">
        <f>5.32*2</f>
        <v>10.64</v>
      </c>
      <c r="I5" s="12">
        <f>5.97*2</f>
        <v>11.94</v>
      </c>
      <c r="J5" s="14">
        <f>0.95*2</f>
        <v>1.9</v>
      </c>
    </row>
    <row r="6" spans="1:12" x14ac:dyDescent="0.25">
      <c r="A6" s="78"/>
      <c r="B6" s="13" t="s">
        <v>18</v>
      </c>
      <c r="C6" s="10" t="s">
        <v>40</v>
      </c>
      <c r="D6" s="10" t="s">
        <v>41</v>
      </c>
      <c r="E6" s="25">
        <v>200</v>
      </c>
      <c r="F6" s="12">
        <v>7.26</v>
      </c>
      <c r="G6" s="12">
        <f>503*0.2</f>
        <v>100.60000000000001</v>
      </c>
      <c r="H6" s="12">
        <f>15.83*0.2</f>
        <v>3.1660000000000004</v>
      </c>
      <c r="I6" s="12">
        <f>13.39*0.2</f>
        <v>2.6780000000000004</v>
      </c>
      <c r="J6" s="14">
        <f>79.73*0.2</f>
        <v>15.946000000000002</v>
      </c>
    </row>
    <row r="7" spans="1:12" x14ac:dyDescent="0.25">
      <c r="A7" s="78"/>
      <c r="B7" s="13" t="s">
        <v>21</v>
      </c>
      <c r="C7" s="10" t="s">
        <v>67</v>
      </c>
      <c r="D7" s="10" t="s">
        <v>68</v>
      </c>
      <c r="E7" s="25">
        <v>50</v>
      </c>
      <c r="F7" s="12">
        <v>3.6</v>
      </c>
      <c r="G7" s="12">
        <f>283*0.5</f>
        <v>141.5</v>
      </c>
      <c r="H7" s="11">
        <f>7.9*0.5</f>
        <v>3.95</v>
      </c>
      <c r="I7" s="11">
        <f>8.12*0.5</f>
        <v>4.0599999999999996</v>
      </c>
      <c r="J7" s="15">
        <f>44.48*0.5</f>
        <v>22.24</v>
      </c>
    </row>
    <row r="8" spans="1:12" ht="15.75" thickBot="1" x14ac:dyDescent="0.3">
      <c r="A8" s="79"/>
      <c r="B8" s="16" t="s">
        <v>14</v>
      </c>
      <c r="C8" s="17" t="s">
        <v>44</v>
      </c>
      <c r="D8" s="17" t="s">
        <v>45</v>
      </c>
      <c r="E8" s="26">
        <v>44</v>
      </c>
      <c r="F8" s="27">
        <v>1.54</v>
      </c>
      <c r="G8" s="27">
        <f>229.7*0.44</f>
        <v>101.068</v>
      </c>
      <c r="H8" s="18">
        <f>6.7*0.44</f>
        <v>2.948</v>
      </c>
      <c r="I8" s="18">
        <f>1.1*0.44</f>
        <v>0.48400000000000004</v>
      </c>
      <c r="J8" s="19">
        <f>48.3*0.44</f>
        <v>21.251999999999999</v>
      </c>
    </row>
    <row r="9" spans="1:12" ht="16.5" thickBot="1" x14ac:dyDescent="0.3">
      <c r="A9" s="76" t="s">
        <v>15</v>
      </c>
      <c r="B9" s="57"/>
      <c r="C9" s="57"/>
      <c r="D9" s="57"/>
      <c r="E9" s="58"/>
      <c r="F9" s="28">
        <f>SUM(F3:F8)</f>
        <v>69.5</v>
      </c>
      <c r="G9" s="28">
        <f t="shared" ref="G9:J9" si="0">SUM(G3:G8)</f>
        <v>643.36799999999994</v>
      </c>
      <c r="H9" s="28">
        <f t="shared" si="0"/>
        <v>28.630000000000003</v>
      </c>
      <c r="I9" s="28">
        <f t="shared" si="0"/>
        <v>29.656500000000001</v>
      </c>
      <c r="J9" s="28">
        <f t="shared" si="0"/>
        <v>65.220999999999989</v>
      </c>
    </row>
    <row r="10" spans="1:12" x14ac:dyDescent="0.25">
      <c r="A10" s="59" t="s">
        <v>31</v>
      </c>
      <c r="B10" s="29" t="s">
        <v>16</v>
      </c>
      <c r="C10" s="30" t="s">
        <v>46</v>
      </c>
      <c r="D10" s="30" t="s">
        <v>47</v>
      </c>
      <c r="E10" s="22" t="s">
        <v>48</v>
      </c>
      <c r="F10" s="23">
        <v>8.89</v>
      </c>
      <c r="G10" s="23">
        <f>593*0.25</f>
        <v>148.25</v>
      </c>
      <c r="H10" s="23">
        <f>21.96*0.25</f>
        <v>5.49</v>
      </c>
      <c r="I10" s="23">
        <f>21.08*0.25</f>
        <v>5.27</v>
      </c>
      <c r="J10" s="24">
        <f>66.14*0.25</f>
        <v>16.535</v>
      </c>
    </row>
    <row r="11" spans="1:12" x14ac:dyDescent="0.25">
      <c r="A11" s="60"/>
      <c r="B11" s="13" t="s">
        <v>13</v>
      </c>
      <c r="C11" s="10" t="s">
        <v>49</v>
      </c>
      <c r="D11" s="10" t="s">
        <v>50</v>
      </c>
      <c r="E11" s="25">
        <v>50</v>
      </c>
      <c r="F11" s="12">
        <v>24.58</v>
      </c>
      <c r="G11" s="12">
        <f>161*1</f>
        <v>161</v>
      </c>
      <c r="H11" s="12">
        <f>7.61*1</f>
        <v>7.61</v>
      </c>
      <c r="I11" s="12">
        <f>11.07*1</f>
        <v>11.07</v>
      </c>
      <c r="J11" s="14">
        <f>7.66*1</f>
        <v>7.66</v>
      </c>
    </row>
    <row r="12" spans="1:12" x14ac:dyDescent="0.25">
      <c r="A12" s="60"/>
      <c r="B12" s="13" t="s">
        <v>17</v>
      </c>
      <c r="C12" s="10" t="s">
        <v>51</v>
      </c>
      <c r="D12" s="10" t="s">
        <v>52</v>
      </c>
      <c r="E12" s="25">
        <v>100</v>
      </c>
      <c r="F12" s="12">
        <v>6.72</v>
      </c>
      <c r="G12" s="12">
        <f>1398*0.1</f>
        <v>139.80000000000001</v>
      </c>
      <c r="H12" s="12">
        <f>24.34*0.1</f>
        <v>2.4340000000000002</v>
      </c>
      <c r="I12" s="12">
        <f>35.83*0.1</f>
        <v>3.5830000000000002</v>
      </c>
      <c r="J12" s="14">
        <f>244.56*0.1</f>
        <v>24.456000000000003</v>
      </c>
    </row>
    <row r="13" spans="1:12" x14ac:dyDescent="0.25">
      <c r="A13" s="60"/>
      <c r="B13" s="13" t="s">
        <v>18</v>
      </c>
      <c r="C13" s="10" t="s">
        <v>19</v>
      </c>
      <c r="D13" s="10" t="s">
        <v>20</v>
      </c>
      <c r="E13" s="25" t="s">
        <v>53</v>
      </c>
      <c r="F13" s="12">
        <v>2.62</v>
      </c>
      <c r="G13" s="12">
        <v>60</v>
      </c>
      <c r="H13" s="12">
        <v>7.0000000000000007E-2</v>
      </c>
      <c r="I13" s="12">
        <v>0.02</v>
      </c>
      <c r="J13" s="14">
        <v>15</v>
      </c>
    </row>
    <row r="14" spans="1:12" ht="15.75" thickBot="1" x14ac:dyDescent="0.3">
      <c r="A14" s="60"/>
      <c r="B14" s="32" t="s">
        <v>14</v>
      </c>
      <c r="C14" s="33" t="s">
        <v>44</v>
      </c>
      <c r="D14" s="33" t="s">
        <v>45</v>
      </c>
      <c r="E14" s="34">
        <v>62.5</v>
      </c>
      <c r="F14" s="35">
        <v>2.19</v>
      </c>
      <c r="G14" s="35">
        <f>229.7*0.625</f>
        <v>143.5625</v>
      </c>
      <c r="H14" s="36">
        <f>6.7*0.625</f>
        <v>4.1875</v>
      </c>
      <c r="I14" s="36">
        <f>1.1*0.625</f>
        <v>0.6875</v>
      </c>
      <c r="J14" s="37">
        <f>48.3*0.625</f>
        <v>30.1875</v>
      </c>
    </row>
    <row r="15" spans="1:12" ht="16.5" thickBot="1" x14ac:dyDescent="0.3">
      <c r="A15" s="61" t="s">
        <v>15</v>
      </c>
      <c r="B15" s="62"/>
      <c r="C15" s="62"/>
      <c r="D15" s="62"/>
      <c r="E15" s="63"/>
      <c r="F15" s="38">
        <f>SUM(F10:F14)</f>
        <v>44.999999999999993</v>
      </c>
      <c r="G15" s="38">
        <f t="shared" ref="G15:J15" si="1">SUM(G10:G14)</f>
        <v>652.61249999999995</v>
      </c>
      <c r="H15" s="38">
        <f t="shared" si="1"/>
        <v>19.791500000000003</v>
      </c>
      <c r="I15" s="38">
        <f t="shared" si="1"/>
        <v>20.630500000000001</v>
      </c>
      <c r="J15" s="38">
        <f t="shared" si="1"/>
        <v>93.83850000000001</v>
      </c>
    </row>
    <row r="16" spans="1:12" s="47" customFormat="1" x14ac:dyDescent="0.25">
      <c r="A16" s="64" t="s">
        <v>32</v>
      </c>
      <c r="B16" s="29" t="s">
        <v>16</v>
      </c>
      <c r="C16" s="30" t="s">
        <v>46</v>
      </c>
      <c r="D16" s="30" t="s">
        <v>47</v>
      </c>
      <c r="E16" s="22" t="s">
        <v>48</v>
      </c>
      <c r="F16" s="23">
        <v>8.89</v>
      </c>
      <c r="G16" s="23">
        <f>593*0.25</f>
        <v>148.25</v>
      </c>
      <c r="H16" s="23">
        <f>21.96*0.25</f>
        <v>5.49</v>
      </c>
      <c r="I16" s="23">
        <f>21.08*0.25</f>
        <v>5.27</v>
      </c>
      <c r="J16" s="24">
        <f>66.14*0.25</f>
        <v>16.535</v>
      </c>
    </row>
    <row r="17" spans="1:10" x14ac:dyDescent="0.25">
      <c r="A17" s="64"/>
      <c r="B17" s="13" t="s">
        <v>13</v>
      </c>
      <c r="C17" s="10" t="s">
        <v>49</v>
      </c>
      <c r="D17" s="10" t="s">
        <v>50</v>
      </c>
      <c r="E17" s="25">
        <v>60</v>
      </c>
      <c r="F17" s="12">
        <v>29.5</v>
      </c>
      <c r="G17" s="12">
        <f>161*1.2</f>
        <v>193.2</v>
      </c>
      <c r="H17" s="12">
        <f>7.61*1.2</f>
        <v>9.1319999999999997</v>
      </c>
      <c r="I17" s="12">
        <f>11.07*1.2</f>
        <v>13.284000000000001</v>
      </c>
      <c r="J17" s="14">
        <f>7.66*1.2</f>
        <v>9.1920000000000002</v>
      </c>
    </row>
    <row r="18" spans="1:10" x14ac:dyDescent="0.25">
      <c r="A18" s="64"/>
      <c r="B18" s="13" t="s">
        <v>17</v>
      </c>
      <c r="C18" s="10" t="s">
        <v>51</v>
      </c>
      <c r="D18" s="10" t="s">
        <v>52</v>
      </c>
      <c r="E18" s="25">
        <v>150</v>
      </c>
      <c r="F18" s="12">
        <v>10.08</v>
      </c>
      <c r="G18" s="12">
        <f>1398*0.15</f>
        <v>209.7</v>
      </c>
      <c r="H18" s="12">
        <f>24.34*0.15</f>
        <v>3.6509999999999998</v>
      </c>
      <c r="I18" s="12">
        <f>35.83*0.15</f>
        <v>5.3744999999999994</v>
      </c>
      <c r="J18" s="14">
        <f>244.56*0.15</f>
        <v>36.683999999999997</v>
      </c>
    </row>
    <row r="19" spans="1:10" x14ac:dyDescent="0.25">
      <c r="A19" s="64"/>
      <c r="B19" s="13" t="s">
        <v>18</v>
      </c>
      <c r="C19" s="10" t="s">
        <v>19</v>
      </c>
      <c r="D19" s="10" t="s">
        <v>20</v>
      </c>
      <c r="E19" s="25" t="s">
        <v>53</v>
      </c>
      <c r="F19" s="12">
        <v>2.62</v>
      </c>
      <c r="G19" s="12">
        <v>60</v>
      </c>
      <c r="H19" s="12">
        <v>7.0000000000000007E-2</v>
      </c>
      <c r="I19" s="12">
        <v>0.02</v>
      </c>
      <c r="J19" s="14">
        <v>15</v>
      </c>
    </row>
    <row r="20" spans="1:10" x14ac:dyDescent="0.25">
      <c r="A20" s="64"/>
      <c r="B20" s="13" t="s">
        <v>14</v>
      </c>
      <c r="C20" s="10" t="s">
        <v>69</v>
      </c>
      <c r="D20" s="10" t="s">
        <v>70</v>
      </c>
      <c r="E20" s="25">
        <v>40</v>
      </c>
      <c r="F20" s="12">
        <v>4.74</v>
      </c>
      <c r="G20" s="12">
        <f>280*0.4</f>
        <v>112</v>
      </c>
      <c r="H20" s="11">
        <f>8*0.4</f>
        <v>3.2</v>
      </c>
      <c r="I20" s="11">
        <f>3*0.4</f>
        <v>1.2000000000000002</v>
      </c>
      <c r="J20" s="15">
        <f>54*0.4</f>
        <v>21.6</v>
      </c>
    </row>
    <row r="21" spans="1:10" ht="15.75" thickBot="1" x14ac:dyDescent="0.3">
      <c r="A21" s="65"/>
      <c r="B21" s="16" t="s">
        <v>22</v>
      </c>
      <c r="C21" s="17" t="s">
        <v>54</v>
      </c>
      <c r="D21" s="17" t="s">
        <v>55</v>
      </c>
      <c r="E21" s="26">
        <v>70</v>
      </c>
      <c r="F21" s="27">
        <v>13.67</v>
      </c>
      <c r="G21" s="27">
        <f>43*0.7</f>
        <v>30.099999999999998</v>
      </c>
      <c r="H21" s="27">
        <f>0.9*0.7</f>
        <v>0.63</v>
      </c>
      <c r="I21" s="27">
        <f>0.2*0.7</f>
        <v>0.13999999999999999</v>
      </c>
      <c r="J21" s="31">
        <f>8.1*0.7</f>
        <v>5.669999999999999</v>
      </c>
    </row>
    <row r="22" spans="1:10" ht="16.5" thickBot="1" x14ac:dyDescent="0.3">
      <c r="A22" s="56" t="s">
        <v>15</v>
      </c>
      <c r="B22" s="53"/>
      <c r="C22" s="53"/>
      <c r="D22" s="53"/>
      <c r="E22" s="66"/>
      <c r="F22" s="28">
        <f>SUM(F16:F21)</f>
        <v>69.5</v>
      </c>
      <c r="G22" s="28">
        <f t="shared" ref="G22:J22" si="2">SUM(G16:G21)</f>
        <v>753.25</v>
      </c>
      <c r="H22" s="28">
        <f t="shared" si="2"/>
        <v>22.172999999999998</v>
      </c>
      <c r="I22" s="28">
        <f t="shared" si="2"/>
        <v>25.288499999999999</v>
      </c>
      <c r="J22" s="28">
        <f t="shared" si="2"/>
        <v>104.681</v>
      </c>
    </row>
    <row r="23" spans="1:10" ht="15.75" x14ac:dyDescent="0.25">
      <c r="A23" s="59" t="s">
        <v>33</v>
      </c>
      <c r="B23" s="29" t="s">
        <v>34</v>
      </c>
      <c r="C23" s="30" t="s">
        <v>56</v>
      </c>
      <c r="D23" s="30" t="s">
        <v>57</v>
      </c>
      <c r="E23" s="39" t="s">
        <v>58</v>
      </c>
      <c r="F23" s="40">
        <v>14.96</v>
      </c>
      <c r="G23" s="41">
        <f>360*0.1+660*0.04+280*0.3</f>
        <v>146.4</v>
      </c>
      <c r="H23" s="41">
        <f>23.2*0.1+0.8*0.04+8*0.3</f>
        <v>4.7519999999999998</v>
      </c>
      <c r="I23" s="41">
        <f>29.5*0.1+72.5*0.04+3*0.3</f>
        <v>6.75</v>
      </c>
      <c r="J23" s="42">
        <f>0+1.3*0.04+54*0.3</f>
        <v>16.251999999999999</v>
      </c>
    </row>
    <row r="24" spans="1:10" x14ac:dyDescent="0.25">
      <c r="A24" s="60"/>
      <c r="B24" s="13" t="s">
        <v>18</v>
      </c>
      <c r="C24" s="10" t="s">
        <v>40</v>
      </c>
      <c r="D24" s="10" t="s">
        <v>41</v>
      </c>
      <c r="E24" s="25">
        <v>200</v>
      </c>
      <c r="F24" s="12">
        <v>7.26</v>
      </c>
      <c r="G24" s="12">
        <f>503*0.2</f>
        <v>100.60000000000001</v>
      </c>
      <c r="H24" s="12">
        <f>15.83*0.2</f>
        <v>3.1660000000000004</v>
      </c>
      <c r="I24" s="12">
        <f>13.39*0.2</f>
        <v>2.6780000000000004</v>
      </c>
      <c r="J24" s="14">
        <f>79.73*0.2</f>
        <v>15.946000000000002</v>
      </c>
    </row>
    <row r="25" spans="1:10" ht="15.75" thickBot="1" x14ac:dyDescent="0.3">
      <c r="A25" s="71"/>
      <c r="B25" s="16" t="s">
        <v>22</v>
      </c>
      <c r="C25" s="17" t="s">
        <v>23</v>
      </c>
      <c r="D25" s="17" t="s">
        <v>24</v>
      </c>
      <c r="E25" s="17">
        <v>240</v>
      </c>
      <c r="F25" s="18">
        <v>22.78</v>
      </c>
      <c r="G25" s="18">
        <f>47*2.4</f>
        <v>112.8</v>
      </c>
      <c r="H25" s="18">
        <f>0.4*2.4</f>
        <v>0.96</v>
      </c>
      <c r="I25" s="18">
        <f>0.4*2.4</f>
        <v>0.96</v>
      </c>
      <c r="J25" s="19">
        <f>9.8*2.4</f>
        <v>23.52</v>
      </c>
    </row>
    <row r="26" spans="1:10" ht="16.5" thickBot="1" x14ac:dyDescent="0.3">
      <c r="A26" s="56" t="s">
        <v>15</v>
      </c>
      <c r="B26" s="72"/>
      <c r="C26" s="72"/>
      <c r="D26" s="72"/>
      <c r="E26" s="73"/>
      <c r="F26" s="5">
        <f>SUM(F23:F25)</f>
        <v>45</v>
      </c>
      <c r="G26" s="5">
        <f t="shared" ref="G26:J26" si="3">SUM(G23:G25)</f>
        <v>359.8</v>
      </c>
      <c r="H26" s="5">
        <f t="shared" si="3"/>
        <v>8.8780000000000001</v>
      </c>
      <c r="I26" s="5">
        <f t="shared" si="3"/>
        <v>10.388000000000002</v>
      </c>
      <c r="J26" s="5">
        <f t="shared" si="3"/>
        <v>55.718000000000004</v>
      </c>
    </row>
    <row r="28" spans="1:10" ht="15.75" thickBot="1" x14ac:dyDescent="0.3">
      <c r="A28" s="54" t="s">
        <v>28</v>
      </c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5.75" x14ac:dyDescent="0.25">
      <c r="A29" s="43"/>
      <c r="B29" s="43"/>
      <c r="C29" s="53" t="s">
        <v>26</v>
      </c>
      <c r="D29" s="53"/>
      <c r="G29" s="55"/>
      <c r="H29" s="55"/>
      <c r="I29" s="55"/>
      <c r="J29" s="55"/>
    </row>
    <row r="30" spans="1:10" x14ac:dyDescent="0.25">
      <c r="A30" s="1"/>
      <c r="B30" s="1"/>
      <c r="C30" s="1"/>
      <c r="D30" s="1"/>
    </row>
    <row r="31" spans="1:10" x14ac:dyDescent="0.25">
      <c r="A31" s="67" t="s">
        <v>27</v>
      </c>
      <c r="B31" s="67"/>
    </row>
    <row r="32" spans="1:10" x14ac:dyDescent="0.25">
      <c r="A32" s="67" t="s">
        <v>29</v>
      </c>
      <c r="B32" s="67"/>
    </row>
    <row r="33" spans="1:1" x14ac:dyDescent="0.25">
      <c r="A33" s="6"/>
    </row>
  </sheetData>
  <mergeCells count="15">
    <mergeCell ref="A31:B31"/>
    <mergeCell ref="A32:B32"/>
    <mergeCell ref="A3:A8"/>
    <mergeCell ref="A23:A25"/>
    <mergeCell ref="A26:E26"/>
    <mergeCell ref="B1:C1"/>
    <mergeCell ref="G1:J1"/>
    <mergeCell ref="C29:D29"/>
    <mergeCell ref="A28:J28"/>
    <mergeCell ref="G29:J29"/>
    <mergeCell ref="A9:E9"/>
    <mergeCell ref="A10:A14"/>
    <mergeCell ref="A15:E15"/>
    <mergeCell ref="A16:A21"/>
    <mergeCell ref="A22:E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10" workbookViewId="0">
      <selection activeCell="B24" sqref="B24:J29"/>
    </sheetView>
  </sheetViews>
  <sheetFormatPr defaultRowHeight="15" x14ac:dyDescent="0.25"/>
  <cols>
    <col min="1" max="1" width="39.42578125" style="3" customWidth="1"/>
    <col min="2" max="2" width="16.7109375" style="3" customWidth="1"/>
    <col min="3" max="3" width="12.5703125" style="3" customWidth="1"/>
    <col min="4" max="4" width="42.140625" style="3" customWidth="1"/>
    <col min="5" max="5" width="10.140625" style="3" bestFit="1" customWidth="1"/>
    <col min="6" max="6" width="9.140625" style="3"/>
    <col min="7" max="7" width="18.140625" style="3" customWidth="1"/>
    <col min="8" max="8" width="11.42578125" style="3" bestFit="1" customWidth="1"/>
    <col min="9" max="9" width="9.140625" style="3"/>
    <col min="10" max="10" width="10.85546875" style="3" customWidth="1"/>
    <col min="11" max="16384" width="9.140625" style="3"/>
  </cols>
  <sheetData>
    <row r="1" spans="1:12" ht="15.75" thickBot="1" x14ac:dyDescent="0.3">
      <c r="A1" s="1" t="s">
        <v>0</v>
      </c>
      <c r="B1" s="48" t="s">
        <v>25</v>
      </c>
      <c r="C1" s="49"/>
      <c r="D1" s="1" t="s">
        <v>1</v>
      </c>
      <c r="E1" s="2"/>
      <c r="F1" s="1" t="s">
        <v>2</v>
      </c>
      <c r="G1" s="74">
        <v>44473</v>
      </c>
      <c r="H1" s="75"/>
      <c r="I1" s="75"/>
      <c r="J1" s="75"/>
      <c r="K1" s="1"/>
      <c r="L1" s="1"/>
    </row>
    <row r="2" spans="1:12" ht="16.5" thickTop="1" thickBot="1" x14ac:dyDescent="0.3">
      <c r="A2" s="4" t="s">
        <v>3</v>
      </c>
      <c r="B2" s="8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9" t="s">
        <v>12</v>
      </c>
    </row>
    <row r="3" spans="1:12" ht="15.75" thickTop="1" x14ac:dyDescent="0.25">
      <c r="A3" s="68" t="s">
        <v>59</v>
      </c>
      <c r="B3" s="20" t="s">
        <v>34</v>
      </c>
      <c r="C3" s="21" t="s">
        <v>42</v>
      </c>
      <c r="D3" s="21" t="s">
        <v>43</v>
      </c>
      <c r="E3" s="22">
        <v>30</v>
      </c>
      <c r="F3" s="22">
        <v>24.11</v>
      </c>
      <c r="G3" s="23">
        <f>3.6*30</f>
        <v>108</v>
      </c>
      <c r="H3" s="23">
        <f>6.96/30*30</f>
        <v>6.96</v>
      </c>
      <c r="I3" s="23">
        <f>8.85/30*30</f>
        <v>8.85</v>
      </c>
      <c r="J3" s="24">
        <f>0</f>
        <v>0</v>
      </c>
    </row>
    <row r="4" spans="1:12" ht="30" x14ac:dyDescent="0.25">
      <c r="A4" s="69"/>
      <c r="B4" s="13" t="s">
        <v>34</v>
      </c>
      <c r="C4" s="10" t="s">
        <v>35</v>
      </c>
      <c r="D4" s="10" t="s">
        <v>37</v>
      </c>
      <c r="E4" s="25" t="s">
        <v>36</v>
      </c>
      <c r="F4" s="12">
        <v>10.1</v>
      </c>
      <c r="G4" s="12">
        <v>34.200000000000003</v>
      </c>
      <c r="H4" s="12">
        <f>13.12*0.05+3.1*0.1</f>
        <v>0.96600000000000008</v>
      </c>
      <c r="I4" s="12">
        <f>32.49*0.05+0.2*0.1</f>
        <v>1.6445000000000003</v>
      </c>
      <c r="J4" s="14">
        <f>64.66*0.05+6.5*0.1</f>
        <v>3.883</v>
      </c>
    </row>
    <row r="5" spans="1:12" x14ac:dyDescent="0.25">
      <c r="A5" s="69"/>
      <c r="B5" s="13" t="s">
        <v>13</v>
      </c>
      <c r="C5" s="10" t="s">
        <v>38</v>
      </c>
      <c r="D5" s="10" t="s">
        <v>39</v>
      </c>
      <c r="E5" s="25">
        <v>105</v>
      </c>
      <c r="F5" s="12">
        <v>22.89</v>
      </c>
      <c r="G5" s="12">
        <f>79*2</f>
        <v>158</v>
      </c>
      <c r="H5" s="12">
        <f>5.32*2</f>
        <v>10.64</v>
      </c>
      <c r="I5" s="12">
        <f>5.97*2</f>
        <v>11.94</v>
      </c>
      <c r="J5" s="14">
        <f>0.95*2</f>
        <v>1.9</v>
      </c>
    </row>
    <row r="6" spans="1:12" x14ac:dyDescent="0.25">
      <c r="A6" s="69"/>
      <c r="B6" s="13" t="s">
        <v>18</v>
      </c>
      <c r="C6" s="10" t="s">
        <v>40</v>
      </c>
      <c r="D6" s="10" t="s">
        <v>41</v>
      </c>
      <c r="E6" s="25">
        <v>200</v>
      </c>
      <c r="F6" s="12">
        <v>7.26</v>
      </c>
      <c r="G6" s="12">
        <f>503*0.2</f>
        <v>100.60000000000001</v>
      </c>
      <c r="H6" s="12">
        <f>15.83*0.2</f>
        <v>3.1660000000000004</v>
      </c>
      <c r="I6" s="12">
        <f>13.39*0.2</f>
        <v>2.6780000000000004</v>
      </c>
      <c r="J6" s="14">
        <f>79.73*0.2</f>
        <v>15.946000000000002</v>
      </c>
    </row>
    <row r="7" spans="1:12" x14ac:dyDescent="0.25">
      <c r="A7" s="69"/>
      <c r="B7" s="13" t="s">
        <v>21</v>
      </c>
      <c r="C7" s="10" t="s">
        <v>67</v>
      </c>
      <c r="D7" s="10" t="s">
        <v>68</v>
      </c>
      <c r="E7" s="25">
        <v>50</v>
      </c>
      <c r="F7" s="12">
        <v>3.6</v>
      </c>
      <c r="G7" s="12">
        <f>283*0.5</f>
        <v>141.5</v>
      </c>
      <c r="H7" s="11">
        <f>7.9*0.5</f>
        <v>3.95</v>
      </c>
      <c r="I7" s="11">
        <f>8.12*0.5</f>
        <v>4.0599999999999996</v>
      </c>
      <c r="J7" s="15">
        <f>44.48*0.5</f>
        <v>22.24</v>
      </c>
    </row>
    <row r="8" spans="1:12" ht="15.75" thickBot="1" x14ac:dyDescent="0.3">
      <c r="A8" s="70"/>
      <c r="B8" s="16" t="s">
        <v>14</v>
      </c>
      <c r="C8" s="17" t="s">
        <v>44</v>
      </c>
      <c r="D8" s="17" t="s">
        <v>45</v>
      </c>
      <c r="E8" s="26">
        <v>44</v>
      </c>
      <c r="F8" s="27">
        <v>1.54</v>
      </c>
      <c r="G8" s="27">
        <f>229.7*0.44</f>
        <v>101.068</v>
      </c>
      <c r="H8" s="18">
        <f>6.7*0.44</f>
        <v>2.948</v>
      </c>
      <c r="I8" s="18">
        <f>1.1*0.44</f>
        <v>0.48400000000000004</v>
      </c>
      <c r="J8" s="19">
        <f>48.3*0.44</f>
        <v>21.251999999999999</v>
      </c>
    </row>
    <row r="9" spans="1:12" ht="16.5" thickBot="1" x14ac:dyDescent="0.3">
      <c r="A9" s="56" t="s">
        <v>15</v>
      </c>
      <c r="B9" s="57"/>
      <c r="C9" s="57"/>
      <c r="D9" s="57"/>
      <c r="E9" s="58"/>
      <c r="F9" s="28">
        <f>SUM(F3:F8)</f>
        <v>69.5</v>
      </c>
      <c r="G9" s="28">
        <f t="shared" ref="G9:J9" si="0">SUM(G3:G8)</f>
        <v>643.36799999999994</v>
      </c>
      <c r="H9" s="28">
        <f t="shared" si="0"/>
        <v>28.630000000000003</v>
      </c>
      <c r="I9" s="28">
        <f t="shared" si="0"/>
        <v>29.656500000000001</v>
      </c>
      <c r="J9" s="28">
        <f t="shared" si="0"/>
        <v>65.220999999999989</v>
      </c>
    </row>
    <row r="10" spans="1:12" ht="15.75" thickTop="1" x14ac:dyDescent="0.25">
      <c r="A10" s="68" t="s">
        <v>60</v>
      </c>
      <c r="B10" s="20" t="s">
        <v>34</v>
      </c>
      <c r="C10" s="21" t="s">
        <v>62</v>
      </c>
      <c r="D10" s="21" t="s">
        <v>63</v>
      </c>
      <c r="E10" s="39" t="s">
        <v>61</v>
      </c>
      <c r="F10" s="22">
        <v>8.27</v>
      </c>
      <c r="G10" s="44">
        <f>660*0.08+229.7*0.3</f>
        <v>121.71000000000001</v>
      </c>
      <c r="H10" s="44">
        <f>0.8*0.08+6.7*0.3</f>
        <v>2.0739999999999998</v>
      </c>
      <c r="I10" s="44">
        <f>72.5*0.08+1.1*0.3</f>
        <v>6.13</v>
      </c>
      <c r="J10" s="45">
        <f>1.3*0.08+48.3*0.3</f>
        <v>14.593999999999998</v>
      </c>
    </row>
    <row r="11" spans="1:12" x14ac:dyDescent="0.25">
      <c r="A11" s="69"/>
      <c r="B11" s="13" t="s">
        <v>13</v>
      </c>
      <c r="C11" s="10" t="s">
        <v>38</v>
      </c>
      <c r="D11" s="10" t="s">
        <v>39</v>
      </c>
      <c r="E11" s="25">
        <v>70</v>
      </c>
      <c r="F11" s="12">
        <v>15.26</v>
      </c>
      <c r="G11" s="12">
        <f>79/53*70</f>
        <v>104.33962264150942</v>
      </c>
      <c r="H11" s="12">
        <f>5.32/53*70</f>
        <v>7.0264150943396233</v>
      </c>
      <c r="I11" s="12">
        <f>5.97/53*70</f>
        <v>7.884905660377358</v>
      </c>
      <c r="J11" s="14">
        <f>0.95/53*70</f>
        <v>1.2547169811320755</v>
      </c>
    </row>
    <row r="12" spans="1:12" s="47" customFormat="1" x14ac:dyDescent="0.25">
      <c r="A12" s="69"/>
      <c r="B12" s="13" t="s">
        <v>18</v>
      </c>
      <c r="C12" s="10" t="s">
        <v>19</v>
      </c>
      <c r="D12" s="10" t="s">
        <v>20</v>
      </c>
      <c r="E12" s="25" t="s">
        <v>53</v>
      </c>
      <c r="F12" s="12">
        <v>2.62</v>
      </c>
      <c r="G12" s="12">
        <v>60</v>
      </c>
      <c r="H12" s="12">
        <v>7.0000000000000007E-2</v>
      </c>
      <c r="I12" s="12">
        <v>0.02</v>
      </c>
      <c r="J12" s="14">
        <v>15</v>
      </c>
    </row>
    <row r="13" spans="1:12" s="47" customFormat="1" ht="15.75" thickBot="1" x14ac:dyDescent="0.3">
      <c r="A13" s="69"/>
      <c r="B13" s="16" t="s">
        <v>14</v>
      </c>
      <c r="C13" s="17" t="s">
        <v>44</v>
      </c>
      <c r="D13" s="17" t="s">
        <v>45</v>
      </c>
      <c r="E13" s="26">
        <v>24</v>
      </c>
      <c r="F13" s="27">
        <v>0.85</v>
      </c>
      <c r="G13" s="27">
        <f>229.7*0.24</f>
        <v>55.127999999999993</v>
      </c>
      <c r="H13" s="18">
        <f>6.7*0.24</f>
        <v>1.6079999999999999</v>
      </c>
      <c r="I13" s="18">
        <f>1.1*0.24</f>
        <v>0.26400000000000001</v>
      </c>
      <c r="J13" s="19">
        <f>48.3*0.24</f>
        <v>11.591999999999999</v>
      </c>
    </row>
    <row r="14" spans="1:12" ht="16.5" thickBot="1" x14ac:dyDescent="0.3">
      <c r="A14" s="56" t="s">
        <v>15</v>
      </c>
      <c r="B14" s="57"/>
      <c r="C14" s="57"/>
      <c r="D14" s="57"/>
      <c r="E14" s="58"/>
      <c r="F14" s="28">
        <f>SUM(F10:F13)</f>
        <v>27.000000000000004</v>
      </c>
      <c r="G14" s="28">
        <f t="shared" ref="G14:J14" si="1">SUM(G10:G13)</f>
        <v>341.1776226415094</v>
      </c>
      <c r="H14" s="28">
        <f t="shared" si="1"/>
        <v>10.778415094339625</v>
      </c>
      <c r="I14" s="28">
        <f t="shared" si="1"/>
        <v>14.298905660377358</v>
      </c>
      <c r="J14" s="28">
        <f t="shared" si="1"/>
        <v>42.44071698113207</v>
      </c>
    </row>
    <row r="15" spans="1:12" ht="15.75" thickTop="1" x14ac:dyDescent="0.25">
      <c r="A15" s="68" t="s">
        <v>65</v>
      </c>
      <c r="B15" s="20" t="s">
        <v>34</v>
      </c>
      <c r="C15" s="21" t="s">
        <v>62</v>
      </c>
      <c r="D15" s="21" t="s">
        <v>63</v>
      </c>
      <c r="E15" s="39" t="s">
        <v>71</v>
      </c>
      <c r="F15" s="22">
        <v>4.38</v>
      </c>
      <c r="G15" s="44">
        <f>660*0.04+229.7*0.22</f>
        <v>76.933999999999997</v>
      </c>
      <c r="H15" s="44">
        <f>0.8*0.04+6.7*0.22</f>
        <v>1.506</v>
      </c>
      <c r="I15" s="44">
        <f>72.5*0.04+1.1*0.22</f>
        <v>3.1419999999999999</v>
      </c>
      <c r="J15" s="45">
        <f>1.3*0.04+48.3*0.22</f>
        <v>10.677999999999999</v>
      </c>
    </row>
    <row r="16" spans="1:12" ht="15.75" thickBot="1" x14ac:dyDescent="0.3">
      <c r="A16" s="69"/>
      <c r="B16" s="16" t="s">
        <v>18</v>
      </c>
      <c r="C16" s="17" t="s">
        <v>19</v>
      </c>
      <c r="D16" s="17" t="s">
        <v>20</v>
      </c>
      <c r="E16" s="26" t="s">
        <v>53</v>
      </c>
      <c r="F16" s="27">
        <v>2.62</v>
      </c>
      <c r="G16" s="27">
        <v>60</v>
      </c>
      <c r="H16" s="27">
        <v>7.0000000000000007E-2</v>
      </c>
      <c r="I16" s="27">
        <v>0.02</v>
      </c>
      <c r="J16" s="31">
        <v>15</v>
      </c>
    </row>
    <row r="17" spans="1:10" ht="16.5" thickBot="1" x14ac:dyDescent="0.3">
      <c r="A17" s="56" t="s">
        <v>15</v>
      </c>
      <c r="B17" s="57"/>
      <c r="C17" s="57"/>
      <c r="D17" s="57"/>
      <c r="E17" s="58"/>
      <c r="F17" s="28">
        <f>SUM(F15:F16)</f>
        <v>7</v>
      </c>
      <c r="G17" s="28">
        <f t="shared" ref="G17:J17" si="2">SUM(G15:G16)</f>
        <v>136.934</v>
      </c>
      <c r="H17" s="28">
        <f t="shared" si="2"/>
        <v>1.5760000000000001</v>
      </c>
      <c r="I17" s="28">
        <f t="shared" si="2"/>
        <v>3.1619999999999999</v>
      </c>
      <c r="J17" s="28">
        <f t="shared" si="2"/>
        <v>25.677999999999997</v>
      </c>
    </row>
    <row r="18" spans="1:10" x14ac:dyDescent="0.25">
      <c r="A18" s="59" t="s">
        <v>64</v>
      </c>
      <c r="B18" s="29" t="s">
        <v>16</v>
      </c>
      <c r="C18" s="30" t="s">
        <v>46</v>
      </c>
      <c r="D18" s="30" t="s">
        <v>47</v>
      </c>
      <c r="E18" s="22" t="s">
        <v>48</v>
      </c>
      <c r="F18" s="23">
        <v>8.89</v>
      </c>
      <c r="G18" s="23">
        <f>593*0.25</f>
        <v>148.25</v>
      </c>
      <c r="H18" s="23">
        <f>21.96*0.25</f>
        <v>5.49</v>
      </c>
      <c r="I18" s="23">
        <f>21.08*0.25</f>
        <v>5.27</v>
      </c>
      <c r="J18" s="24">
        <f>66.14*0.25</f>
        <v>16.535</v>
      </c>
    </row>
    <row r="19" spans="1:10" x14ac:dyDescent="0.25">
      <c r="A19" s="60"/>
      <c r="B19" s="13" t="s">
        <v>13</v>
      </c>
      <c r="C19" s="10" t="s">
        <v>49</v>
      </c>
      <c r="D19" s="10" t="s">
        <v>50</v>
      </c>
      <c r="E19" s="25">
        <v>50</v>
      </c>
      <c r="F19" s="12">
        <v>24.58</v>
      </c>
      <c r="G19" s="12">
        <f>161*1</f>
        <v>161</v>
      </c>
      <c r="H19" s="12">
        <f>7.61*1</f>
        <v>7.61</v>
      </c>
      <c r="I19" s="12">
        <f>11.07*1</f>
        <v>11.07</v>
      </c>
      <c r="J19" s="14">
        <f>7.66*1</f>
        <v>7.66</v>
      </c>
    </row>
    <row r="20" spans="1:10" x14ac:dyDescent="0.25">
      <c r="A20" s="60"/>
      <c r="B20" s="13" t="s">
        <v>17</v>
      </c>
      <c r="C20" s="10" t="s">
        <v>51</v>
      </c>
      <c r="D20" s="10" t="s">
        <v>52</v>
      </c>
      <c r="E20" s="25">
        <v>100</v>
      </c>
      <c r="F20" s="12">
        <v>6.72</v>
      </c>
      <c r="G20" s="12">
        <f>1398*0.1</f>
        <v>139.80000000000001</v>
      </c>
      <c r="H20" s="12">
        <f>24.34*0.1</f>
        <v>2.4340000000000002</v>
      </c>
      <c r="I20" s="12">
        <f>35.83*0.1</f>
        <v>3.5830000000000002</v>
      </c>
      <c r="J20" s="14">
        <f>244.56*0.1</f>
        <v>24.456000000000003</v>
      </c>
    </row>
    <row r="21" spans="1:10" x14ac:dyDescent="0.25">
      <c r="A21" s="60"/>
      <c r="B21" s="13" t="s">
        <v>18</v>
      </c>
      <c r="C21" s="10" t="s">
        <v>19</v>
      </c>
      <c r="D21" s="10" t="s">
        <v>20</v>
      </c>
      <c r="E21" s="25" t="s">
        <v>53</v>
      </c>
      <c r="F21" s="12">
        <v>2.62</v>
      </c>
      <c r="G21" s="12">
        <v>60</v>
      </c>
      <c r="H21" s="12">
        <v>7.0000000000000007E-2</v>
      </c>
      <c r="I21" s="12">
        <v>0.02</v>
      </c>
      <c r="J21" s="14">
        <v>15</v>
      </c>
    </row>
    <row r="22" spans="1:10" ht="15.75" thickBot="1" x14ac:dyDescent="0.3">
      <c r="A22" s="60"/>
      <c r="B22" s="32" t="s">
        <v>14</v>
      </c>
      <c r="C22" s="33" t="s">
        <v>44</v>
      </c>
      <c r="D22" s="33" t="s">
        <v>45</v>
      </c>
      <c r="E22" s="34">
        <v>62.5</v>
      </c>
      <c r="F22" s="35">
        <v>2.19</v>
      </c>
      <c r="G22" s="35">
        <f>229.7*0.625</f>
        <v>143.5625</v>
      </c>
      <c r="H22" s="36">
        <f>6.7*0.625</f>
        <v>4.1875</v>
      </c>
      <c r="I22" s="36">
        <f>1.1*0.625</f>
        <v>0.6875</v>
      </c>
      <c r="J22" s="37">
        <f>48.3*0.625</f>
        <v>30.1875</v>
      </c>
    </row>
    <row r="23" spans="1:10" ht="16.5" thickBot="1" x14ac:dyDescent="0.3">
      <c r="A23" s="61" t="s">
        <v>15</v>
      </c>
      <c r="B23" s="62"/>
      <c r="C23" s="62"/>
      <c r="D23" s="62"/>
      <c r="E23" s="63"/>
      <c r="F23" s="38">
        <f>SUM(F18:F22)</f>
        <v>44.999999999999993</v>
      </c>
      <c r="G23" s="38">
        <f t="shared" ref="G23:J23" si="3">SUM(G18:G22)</f>
        <v>652.61249999999995</v>
      </c>
      <c r="H23" s="38">
        <f t="shared" si="3"/>
        <v>19.791500000000003</v>
      </c>
      <c r="I23" s="38">
        <f t="shared" si="3"/>
        <v>20.630500000000001</v>
      </c>
      <c r="J23" s="38">
        <f t="shared" si="3"/>
        <v>93.83850000000001</v>
      </c>
    </row>
    <row r="24" spans="1:10" x14ac:dyDescent="0.25">
      <c r="A24" s="64" t="s">
        <v>66</v>
      </c>
      <c r="B24" s="29" t="s">
        <v>16</v>
      </c>
      <c r="C24" s="30" t="s">
        <v>46</v>
      </c>
      <c r="D24" s="30" t="s">
        <v>47</v>
      </c>
      <c r="E24" s="22" t="s">
        <v>48</v>
      </c>
      <c r="F24" s="23">
        <v>8.89</v>
      </c>
      <c r="G24" s="23">
        <f>593*0.25</f>
        <v>148.25</v>
      </c>
      <c r="H24" s="23">
        <f>21.96*0.25</f>
        <v>5.49</v>
      </c>
      <c r="I24" s="23">
        <f>21.08*0.25</f>
        <v>5.27</v>
      </c>
      <c r="J24" s="24">
        <f>66.14*0.25</f>
        <v>16.535</v>
      </c>
    </row>
    <row r="25" spans="1:10" x14ac:dyDescent="0.25">
      <c r="A25" s="64"/>
      <c r="B25" s="13" t="s">
        <v>13</v>
      </c>
      <c r="C25" s="10" t="s">
        <v>49</v>
      </c>
      <c r="D25" s="10" t="s">
        <v>50</v>
      </c>
      <c r="E25" s="25">
        <v>60</v>
      </c>
      <c r="F25" s="12">
        <v>29.5</v>
      </c>
      <c r="G25" s="12">
        <f>161*1.2</f>
        <v>193.2</v>
      </c>
      <c r="H25" s="12">
        <f>7.61*1.2</f>
        <v>9.1319999999999997</v>
      </c>
      <c r="I25" s="12">
        <f>11.07*1.2</f>
        <v>13.284000000000001</v>
      </c>
      <c r="J25" s="14">
        <f>7.66*1.2</f>
        <v>9.1920000000000002</v>
      </c>
    </row>
    <row r="26" spans="1:10" x14ac:dyDescent="0.25">
      <c r="A26" s="64"/>
      <c r="B26" s="13" t="s">
        <v>17</v>
      </c>
      <c r="C26" s="10" t="s">
        <v>51</v>
      </c>
      <c r="D26" s="10" t="s">
        <v>52</v>
      </c>
      <c r="E26" s="25">
        <v>150</v>
      </c>
      <c r="F26" s="12">
        <v>10.08</v>
      </c>
      <c r="G26" s="12">
        <f>1398*0.15</f>
        <v>209.7</v>
      </c>
      <c r="H26" s="12">
        <f>24.34*0.15</f>
        <v>3.6509999999999998</v>
      </c>
      <c r="I26" s="12">
        <f>35.83*0.15</f>
        <v>5.3744999999999994</v>
      </c>
      <c r="J26" s="14">
        <f>244.56*0.15</f>
        <v>36.683999999999997</v>
      </c>
    </row>
    <row r="27" spans="1:10" x14ac:dyDescent="0.25">
      <c r="A27" s="64"/>
      <c r="B27" s="13" t="s">
        <v>18</v>
      </c>
      <c r="C27" s="10" t="s">
        <v>19</v>
      </c>
      <c r="D27" s="10" t="s">
        <v>20</v>
      </c>
      <c r="E27" s="25" t="s">
        <v>53</v>
      </c>
      <c r="F27" s="12">
        <v>2.62</v>
      </c>
      <c r="G27" s="12">
        <v>60</v>
      </c>
      <c r="H27" s="12">
        <v>7.0000000000000007E-2</v>
      </c>
      <c r="I27" s="12">
        <v>0.02</v>
      </c>
      <c r="J27" s="14">
        <v>15</v>
      </c>
    </row>
    <row r="28" spans="1:10" x14ac:dyDescent="0.25">
      <c r="A28" s="64"/>
      <c r="B28" s="13" t="s">
        <v>14</v>
      </c>
      <c r="C28" s="10" t="s">
        <v>69</v>
      </c>
      <c r="D28" s="10" t="s">
        <v>70</v>
      </c>
      <c r="E28" s="25">
        <v>40</v>
      </c>
      <c r="F28" s="12">
        <v>4.74</v>
      </c>
      <c r="G28" s="12">
        <f>280*0.4</f>
        <v>112</v>
      </c>
      <c r="H28" s="11">
        <f>8*0.4</f>
        <v>3.2</v>
      </c>
      <c r="I28" s="11">
        <f>3*0.4</f>
        <v>1.2000000000000002</v>
      </c>
      <c r="J28" s="15">
        <f>54*0.4</f>
        <v>21.6</v>
      </c>
    </row>
    <row r="29" spans="1:10" ht="15.75" thickBot="1" x14ac:dyDescent="0.3">
      <c r="A29" s="64"/>
      <c r="B29" s="16" t="s">
        <v>22</v>
      </c>
      <c r="C29" s="17" t="s">
        <v>54</v>
      </c>
      <c r="D29" s="17" t="s">
        <v>55</v>
      </c>
      <c r="E29" s="26">
        <v>70</v>
      </c>
      <c r="F29" s="27">
        <v>13.67</v>
      </c>
      <c r="G29" s="27">
        <f>43*0.7</f>
        <v>30.099999999999998</v>
      </c>
      <c r="H29" s="27">
        <f>0.9*0.7</f>
        <v>0.63</v>
      </c>
      <c r="I29" s="27">
        <f>0.2*0.7</f>
        <v>0.13999999999999999</v>
      </c>
      <c r="J29" s="31">
        <f>8.1*0.7</f>
        <v>5.669999999999999</v>
      </c>
    </row>
    <row r="30" spans="1:10" ht="16.5" thickBot="1" x14ac:dyDescent="0.3">
      <c r="A30" s="61" t="s">
        <v>15</v>
      </c>
      <c r="B30" s="62"/>
      <c r="C30" s="62"/>
      <c r="D30" s="62"/>
      <c r="E30" s="63"/>
      <c r="F30" s="38">
        <f>SUM(F24:F29)</f>
        <v>69.5</v>
      </c>
      <c r="G30" s="38">
        <f t="shared" ref="G30:J30" si="4">SUM(G24:G29)</f>
        <v>753.25</v>
      </c>
      <c r="H30" s="38">
        <f t="shared" si="4"/>
        <v>22.172999999999998</v>
      </c>
      <c r="I30" s="38">
        <f t="shared" si="4"/>
        <v>25.288499999999999</v>
      </c>
      <c r="J30" s="38">
        <f t="shared" si="4"/>
        <v>104.681</v>
      </c>
    </row>
    <row r="32" spans="1:10" ht="15.75" thickBot="1" x14ac:dyDescent="0.3">
      <c r="A32" s="54" t="s">
        <v>28</v>
      </c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15.75" x14ac:dyDescent="0.25">
      <c r="A33" s="43"/>
      <c r="B33" s="43"/>
      <c r="C33" s="53" t="s">
        <v>26</v>
      </c>
      <c r="D33" s="53"/>
      <c r="G33" s="55"/>
      <c r="H33" s="55"/>
      <c r="I33" s="55"/>
      <c r="J33" s="55"/>
    </row>
    <row r="34" spans="1:10" x14ac:dyDescent="0.25">
      <c r="A34" s="1"/>
      <c r="B34" s="1"/>
      <c r="C34" s="1"/>
      <c r="D34" s="1"/>
    </row>
    <row r="35" spans="1:10" x14ac:dyDescent="0.25">
      <c r="A35" s="67" t="s">
        <v>27</v>
      </c>
      <c r="B35" s="67"/>
    </row>
    <row r="36" spans="1:10" x14ac:dyDescent="0.25">
      <c r="A36" s="67" t="s">
        <v>29</v>
      </c>
      <c r="B36" s="67"/>
    </row>
    <row r="37" spans="1:10" x14ac:dyDescent="0.25">
      <c r="A37" s="6"/>
    </row>
  </sheetData>
  <mergeCells count="17">
    <mergeCell ref="A35:B35"/>
    <mergeCell ref="A36:B36"/>
    <mergeCell ref="A10:A13"/>
    <mergeCell ref="A14:E14"/>
    <mergeCell ref="A15:A16"/>
    <mergeCell ref="A17:E17"/>
    <mergeCell ref="A24:A29"/>
    <mergeCell ref="A30:E30"/>
    <mergeCell ref="A32:J32"/>
    <mergeCell ref="C33:D33"/>
    <mergeCell ref="G33:J33"/>
    <mergeCell ref="A23:E23"/>
    <mergeCell ref="B1:C1"/>
    <mergeCell ref="G1:J1"/>
    <mergeCell ref="A3:A8"/>
    <mergeCell ref="A9:E9"/>
    <mergeCell ref="A18:A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04.10 1-4 кл</vt:lpstr>
      <vt:lpstr>04.10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2021-10-01T13:49:48Z</dcterms:modified>
</cp:coreProperties>
</file>