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8.10 1-4 кл" sheetId="1" r:id="rId1"/>
    <sheet name="18.10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I30" i="2"/>
  <c r="J30" i="2"/>
  <c r="F30" i="2"/>
  <c r="J29" i="2"/>
  <c r="I29" i="2"/>
  <c r="H29" i="2"/>
  <c r="G29" i="2"/>
  <c r="J28" i="2"/>
  <c r="I28" i="2"/>
  <c r="H28" i="2"/>
  <c r="G28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H14" i="2"/>
  <c r="J14" i="2"/>
  <c r="I14" i="2"/>
  <c r="G14" i="2"/>
  <c r="J12" i="2"/>
  <c r="I12" i="2"/>
  <c r="H12" i="2"/>
  <c r="G12" i="2"/>
  <c r="J6" i="2"/>
  <c r="I6" i="2"/>
  <c r="H6" i="2"/>
  <c r="G6" i="2"/>
  <c r="I3" i="2"/>
  <c r="H3" i="2"/>
  <c r="G3" i="2"/>
  <c r="J3" i="2"/>
  <c r="G4" i="2"/>
  <c r="H4" i="2"/>
  <c r="I4" i="2"/>
  <c r="J4" i="2"/>
  <c r="G7" i="2"/>
  <c r="H7" i="2"/>
  <c r="I7" i="2"/>
  <c r="J7" i="2"/>
  <c r="G8" i="2"/>
  <c r="H8" i="2"/>
  <c r="I8" i="2"/>
  <c r="J8" i="2"/>
  <c r="J25" i="1"/>
  <c r="I25" i="1"/>
  <c r="H25" i="1"/>
  <c r="G25" i="1"/>
  <c r="J24" i="1"/>
  <c r="I24" i="1"/>
  <c r="H24" i="1"/>
  <c r="G24" i="1"/>
  <c r="J23" i="1"/>
  <c r="I23" i="1"/>
  <c r="H23" i="1"/>
  <c r="G23" i="1"/>
  <c r="J13" i="1"/>
  <c r="I13" i="1"/>
  <c r="H13" i="1"/>
  <c r="G13" i="1"/>
  <c r="J21" i="1"/>
  <c r="I21" i="1"/>
  <c r="H21" i="1"/>
  <c r="G21" i="1"/>
  <c r="J20" i="1"/>
  <c r="I20" i="1"/>
  <c r="H20" i="1"/>
  <c r="G20" i="1"/>
  <c r="J18" i="1"/>
  <c r="I18" i="1"/>
  <c r="H18" i="1"/>
  <c r="G18" i="1"/>
  <c r="J6" i="1"/>
  <c r="I6" i="1"/>
  <c r="H6" i="1"/>
  <c r="G6" i="1"/>
  <c r="J7" i="1"/>
  <c r="I7" i="1"/>
  <c r="H7" i="1"/>
  <c r="G7" i="1"/>
  <c r="J3" i="1"/>
  <c r="I3" i="1"/>
  <c r="H3" i="1"/>
  <c r="G3" i="1"/>
  <c r="J5" i="1"/>
  <c r="I5" i="1"/>
  <c r="H5" i="1"/>
  <c r="G5" i="1"/>
  <c r="F13" i="2" l="1"/>
  <c r="J10" i="2"/>
  <c r="J13" i="2" s="1"/>
  <c r="I10" i="2"/>
  <c r="I13" i="2" s="1"/>
  <c r="H10" i="2"/>
  <c r="H13" i="2" s="1"/>
  <c r="G10" i="2"/>
  <c r="G13" i="2" s="1"/>
  <c r="F26" i="1" l="1"/>
  <c r="J26" i="1"/>
  <c r="I26" i="1"/>
  <c r="H26" i="1"/>
  <c r="G26" i="1"/>
  <c r="F8" i="1" l="1"/>
  <c r="J8" i="1" l="1"/>
  <c r="I8" i="1"/>
  <c r="H8" i="1"/>
  <c r="G8" i="1"/>
  <c r="F14" i="1"/>
  <c r="F22" i="1" l="1"/>
  <c r="J19" i="1" l="1"/>
  <c r="I19" i="1"/>
  <c r="H19" i="1"/>
  <c r="G19" i="1"/>
  <c r="J10" i="1" l="1"/>
  <c r="I10" i="1"/>
  <c r="H10" i="1"/>
  <c r="G10" i="1"/>
  <c r="J11" i="1"/>
  <c r="I11" i="1"/>
  <c r="H11" i="1"/>
  <c r="G11" i="1"/>
  <c r="J9" i="1"/>
  <c r="J14" i="1" s="1"/>
  <c r="I9" i="1"/>
  <c r="I14" i="1" s="1"/>
  <c r="H9" i="1"/>
  <c r="H14" i="1" s="1"/>
  <c r="G9" i="1"/>
  <c r="G14" i="1" s="1"/>
  <c r="J17" i="1"/>
  <c r="I17" i="1"/>
  <c r="H17" i="1"/>
  <c r="G17" i="1"/>
  <c r="J15" i="1"/>
  <c r="I15" i="1"/>
  <c r="H15" i="1"/>
  <c r="G15" i="1"/>
  <c r="F22" i="2" l="1"/>
  <c r="J22" i="2"/>
  <c r="I22" i="2"/>
  <c r="H22" i="2"/>
  <c r="G22" i="2"/>
  <c r="F16" i="2"/>
  <c r="J16" i="2"/>
  <c r="I16" i="2"/>
  <c r="H16" i="2"/>
  <c r="G16" i="2"/>
  <c r="F9" i="2"/>
  <c r="J16" i="1" l="1"/>
  <c r="J22" i="1" s="1"/>
  <c r="I16" i="1"/>
  <c r="I22" i="1" s="1"/>
  <c r="H16" i="1"/>
  <c r="H22" i="1" s="1"/>
  <c r="G16" i="1"/>
  <c r="G22" i="1" s="1"/>
  <c r="J9" i="2"/>
  <c r="I9" i="2"/>
  <c r="H9" i="2"/>
  <c r="G9" i="2"/>
</calcChain>
</file>

<file path=xl/sharedStrings.xml><?xml version="1.0" encoding="utf-8"?>
<sst xmlns="http://schemas.openxmlformats.org/spreadsheetml/2006/main" count="196" uniqueCount="78">
  <si>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</si>
  <si>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</si>
  <si>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</si>
  <si>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</si>
  <si>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</si>
  <si>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</si>
  <si>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</si>
  <si>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</si>
  <si>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</si>
  <si>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</si>
  <si>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</si>
  <si>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</si>
  <si>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</si>
  <si>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</si>
  <si>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</si>
  <si>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</si>
  <si>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</si>
  <si>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</si>
  <si>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</si>
  <si>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</si>
  <si>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</si>
  <si>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</si>
  <si>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</si>
  <si>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</si>
  <si>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</si>
  <si>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</si>
  <si>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</si>
  <si>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</si>
  <si>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</si>
  <si>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</si>
  <si>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</si>
  <si>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</si>
  <si>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</si>
  <si>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</si>
  <si>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</si>
  <si>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</si>
  <si>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</si>
  <si>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</si>
  <si>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</si>
  <si>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</si>
  <si>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</si>
  <si>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</si>
  <si>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Кондитерское изделие</t>
  </si>
  <si>
    <t>№295-2015г.</t>
  </si>
  <si>
    <t>Котлета рубленая из бройлер-цыплят</t>
  </si>
  <si>
    <t>№309-2015г.</t>
  </si>
  <si>
    <t>Макароны отварные</t>
  </si>
  <si>
    <t>Фрукт</t>
  </si>
  <si>
    <t>№338-2015г.</t>
  </si>
  <si>
    <t>№88-2015г.</t>
  </si>
  <si>
    <t>Щи из свежей капусты с картофелем со сметаной и зеленью</t>
  </si>
  <si>
    <t>№71-2015г.</t>
  </si>
  <si>
    <t>№15-2015г.</t>
  </si>
  <si>
    <t>Сыр "Российский" (порциями)</t>
  </si>
  <si>
    <t>Овощи натуральные свежие (помидоры)</t>
  </si>
  <si>
    <t>Напиток (сладкое блюдо)</t>
  </si>
  <si>
    <t>№348-2015г.</t>
  </si>
  <si>
    <t>Компот из кураги</t>
  </si>
  <si>
    <t>№382-2015г.</t>
  </si>
  <si>
    <t>Какао с молоком</t>
  </si>
  <si>
    <t>№173-2015г.</t>
  </si>
  <si>
    <t>Каша вязкая молочная из пшённой крупы с маслом</t>
  </si>
  <si>
    <t>200/10</t>
  </si>
  <si>
    <t>Груша свежая (порциями)</t>
  </si>
  <si>
    <t>Пряник сливочный</t>
  </si>
  <si>
    <t>№422-2015г.</t>
  </si>
  <si>
    <t>Булочка ванильная</t>
  </si>
  <si>
    <t>Напиток</t>
  </si>
  <si>
    <t>№389-2015г.</t>
  </si>
  <si>
    <t>Сок фруктовый</t>
  </si>
  <si>
    <t>Печенье Курабье</t>
  </si>
  <si>
    <t>Фрукт свежий (яблоко)</t>
  </si>
  <si>
    <t>№425-2015г.</t>
  </si>
  <si>
    <t>Булочка дорожная</t>
  </si>
  <si>
    <t>202/15</t>
  </si>
  <si>
    <t>№1-2015г.</t>
  </si>
  <si>
    <t>Бутерброд с маслом сливочным</t>
  </si>
  <si>
    <t>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</si>
</sst>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2" fillId="0" borderId="2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5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9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horizontal="right" vertical="center" wrapText="1"/>
    </xf>
    <xf numFmtId="2" fontId="1" fillId="0" borderId="32" xfId="0" applyNumberFormat="1" applyFont="1" applyBorder="1" applyAlignment="1">
      <alignment horizontal="right" vertical="center" wrapText="1"/>
    </xf>
    <xf numFmtId="2" fontId="1" fillId="0" borderId="33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workbookViewId="0">
      <selection activeCell="B15" sqref="B15:J21"/>
    </sheetView>
  </sheetViews>
  <sheetFormatPr defaultRowHeight="15" x14ac:dyDescent="0.25"/>
  <cols>
    <col min="1" max="1" width="19.85546875" style="79" customWidth="1"/>
    <col min="2" max="2" width="24.855468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73" t="s">
        <v>0</v>
      </c>
      <c r="B1" s="69" t="s">
        <v>22</v>
      </c>
      <c r="C1" s="70"/>
      <c r="D1" s="1" t="s">
        <v>1</v>
      </c>
      <c r="E1" s="34"/>
      <c r="F1" s="1" t="s">
        <v>2</v>
      </c>
      <c r="G1" s="86">
        <v>44487</v>
      </c>
      <c r="H1" s="87"/>
      <c r="I1" s="87"/>
      <c r="J1" s="88"/>
      <c r="K1" s="1"/>
      <c r="L1" s="1"/>
    </row>
    <row r="2" spans="1:12" ht="15.75" thickBot="1" x14ac:dyDescent="0.3">
      <c r="A2" s="85" t="s">
        <v>3</v>
      </c>
      <c r="B2" s="35" t="s">
        <v>4</v>
      </c>
      <c r="C2" s="36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  <c r="I2" s="36" t="s">
        <v>11</v>
      </c>
      <c r="J2" s="37" t="s">
        <v>12</v>
      </c>
    </row>
    <row r="3" spans="1:12" s="48" customFormat="1" ht="30" x14ac:dyDescent="0.25">
      <c r="A3" s="51" t="s">
        <v>27</v>
      </c>
      <c r="B3" s="80" t="s">
        <v>13</v>
      </c>
      <c r="C3" s="81" t="s">
        <v>60</v>
      </c>
      <c r="D3" s="81" t="s">
        <v>61</v>
      </c>
      <c r="E3" s="82" t="s">
        <v>62</v>
      </c>
      <c r="F3" s="83">
        <v>20.93</v>
      </c>
      <c r="G3" s="83">
        <f>289</f>
        <v>289</v>
      </c>
      <c r="H3" s="83">
        <f>8.2</f>
        <v>8.1999999999999993</v>
      </c>
      <c r="I3" s="83">
        <f>10.6</f>
        <v>10.6</v>
      </c>
      <c r="J3" s="84">
        <f>40.1</f>
        <v>40.1</v>
      </c>
    </row>
    <row r="4" spans="1:12" s="30" customFormat="1" x14ac:dyDescent="0.25">
      <c r="A4" s="51"/>
      <c r="B4" s="7" t="s">
        <v>18</v>
      </c>
      <c r="C4" s="4" t="s">
        <v>58</v>
      </c>
      <c r="D4" s="4" t="s">
        <v>59</v>
      </c>
      <c r="E4" s="19">
        <v>200</v>
      </c>
      <c r="F4" s="6">
        <v>13.05</v>
      </c>
      <c r="G4" s="6">
        <v>136</v>
      </c>
      <c r="H4" s="31">
        <v>3.64</v>
      </c>
      <c r="I4" s="31">
        <v>3.35</v>
      </c>
      <c r="J4" s="32">
        <v>22.82</v>
      </c>
      <c r="K4"/>
    </row>
    <row r="5" spans="1:12" s="48" customFormat="1" x14ac:dyDescent="0.25">
      <c r="A5" s="51"/>
      <c r="B5" s="7" t="s">
        <v>42</v>
      </c>
      <c r="C5" s="4" t="s">
        <v>41</v>
      </c>
      <c r="D5" s="4" t="s">
        <v>64</v>
      </c>
      <c r="E5" s="19">
        <v>90</v>
      </c>
      <c r="F5" s="6">
        <v>16.53</v>
      </c>
      <c r="G5" s="46">
        <f>350*0.9</f>
        <v>315</v>
      </c>
      <c r="H5" s="46">
        <f>5*0.9</f>
        <v>4.5</v>
      </c>
      <c r="I5" s="46">
        <f>6*0.9</f>
        <v>5.4</v>
      </c>
      <c r="J5" s="47">
        <f>69*0.9</f>
        <v>62.1</v>
      </c>
      <c r="K5"/>
    </row>
    <row r="6" spans="1:12" s="30" customFormat="1" x14ac:dyDescent="0.25">
      <c r="A6" s="51"/>
      <c r="B6" s="7" t="s">
        <v>14</v>
      </c>
      <c r="C6" s="4" t="s">
        <v>32</v>
      </c>
      <c r="D6" s="4" t="s">
        <v>33</v>
      </c>
      <c r="E6" s="19">
        <v>39</v>
      </c>
      <c r="F6" s="6">
        <v>1.6</v>
      </c>
      <c r="G6" s="6">
        <f>229.7*0.39</f>
        <v>89.582999999999998</v>
      </c>
      <c r="H6" s="5">
        <f>6.7*0.39</f>
        <v>2.613</v>
      </c>
      <c r="I6" s="5">
        <f>1.1*0.39</f>
        <v>0.42900000000000005</v>
      </c>
      <c r="J6" s="9">
        <f>48.3*0.39</f>
        <v>18.837</v>
      </c>
    </row>
    <row r="7" spans="1:12" s="30" customFormat="1" ht="15.75" thickBot="1" x14ac:dyDescent="0.3">
      <c r="A7" s="52"/>
      <c r="B7" s="10" t="s">
        <v>47</v>
      </c>
      <c r="C7" s="11" t="s">
        <v>48</v>
      </c>
      <c r="D7" s="11" t="s">
        <v>63</v>
      </c>
      <c r="E7" s="20">
        <v>70</v>
      </c>
      <c r="F7" s="21">
        <v>17.39</v>
      </c>
      <c r="G7" s="44">
        <f>47*0.7</f>
        <v>32.9</v>
      </c>
      <c r="H7" s="44">
        <f>0.4*0.7</f>
        <v>0.27999999999999997</v>
      </c>
      <c r="I7" s="44">
        <f>0.3*0.7</f>
        <v>0.21</v>
      </c>
      <c r="J7" s="45">
        <f>10.3*0.7</f>
        <v>7.21</v>
      </c>
    </row>
    <row r="8" spans="1:12" ht="16.5" thickBot="1" x14ac:dyDescent="0.3">
      <c r="A8" s="55" t="s">
        <v>15</v>
      </c>
      <c r="B8" s="61"/>
      <c r="C8" s="61"/>
      <c r="D8" s="61"/>
      <c r="E8" s="62"/>
      <c r="F8" s="22">
        <f>SUM(F3:F7)</f>
        <v>69.5</v>
      </c>
      <c r="G8" s="22">
        <f>SUM(G3:G7)</f>
        <v>862.48299999999995</v>
      </c>
      <c r="H8" s="22">
        <f>SUM(H3:H7)</f>
        <v>19.233000000000001</v>
      </c>
      <c r="I8" s="22">
        <f>SUM(I3:I7)</f>
        <v>19.989000000000001</v>
      </c>
      <c r="J8" s="22">
        <f>SUM(J3:J7)</f>
        <v>151.06700000000001</v>
      </c>
    </row>
    <row r="9" spans="1:12" ht="30" x14ac:dyDescent="0.25">
      <c r="A9" s="74" t="s">
        <v>28</v>
      </c>
      <c r="B9" s="23" t="s">
        <v>16</v>
      </c>
      <c r="C9" s="24" t="s">
        <v>49</v>
      </c>
      <c r="D9" s="24" t="s">
        <v>50</v>
      </c>
      <c r="E9" s="16" t="s">
        <v>35</v>
      </c>
      <c r="F9" s="17">
        <v>12.33</v>
      </c>
      <c r="G9" s="17">
        <f>359*0.25+162*0.1</f>
        <v>105.95</v>
      </c>
      <c r="H9" s="17">
        <f>7.06*0.25+2.6*0.1</f>
        <v>2.0249999999999999</v>
      </c>
      <c r="I9" s="17">
        <f>19.8*0.25+15*0.1</f>
        <v>6.45</v>
      </c>
      <c r="J9" s="18">
        <f>31.61*0.25+3.6*0.1</f>
        <v>8.2624999999999993</v>
      </c>
      <c r="K9"/>
    </row>
    <row r="10" spans="1:12" x14ac:dyDescent="0.25">
      <c r="A10" s="75"/>
      <c r="B10" s="7" t="s">
        <v>13</v>
      </c>
      <c r="C10" s="4" t="s">
        <v>43</v>
      </c>
      <c r="D10" s="4" t="s">
        <v>44</v>
      </c>
      <c r="E10" s="19">
        <v>50</v>
      </c>
      <c r="F10" s="6">
        <v>21.73</v>
      </c>
      <c r="G10" s="6">
        <f>161*1</f>
        <v>161</v>
      </c>
      <c r="H10" s="6">
        <f>7.61*1</f>
        <v>7.61</v>
      </c>
      <c r="I10" s="6">
        <f>11.07*1</f>
        <v>11.07</v>
      </c>
      <c r="J10" s="8">
        <f>7.66*1</f>
        <v>7.66</v>
      </c>
      <c r="K10"/>
    </row>
    <row r="11" spans="1:12" s="30" customFormat="1" x14ac:dyDescent="0.25">
      <c r="A11" s="75"/>
      <c r="B11" s="7" t="s">
        <v>17</v>
      </c>
      <c r="C11" s="4" t="s">
        <v>45</v>
      </c>
      <c r="D11" s="4" t="s">
        <v>46</v>
      </c>
      <c r="E11" s="19">
        <v>100</v>
      </c>
      <c r="F11" s="6">
        <v>6.8</v>
      </c>
      <c r="G11" s="6">
        <f>1123*0.1</f>
        <v>112.30000000000001</v>
      </c>
      <c r="H11" s="6">
        <f>36.78*0.1</f>
        <v>3.6780000000000004</v>
      </c>
      <c r="I11" s="6">
        <f>30.1*0.1</f>
        <v>3.0100000000000002</v>
      </c>
      <c r="J11" s="8">
        <f>176.3*0.1</f>
        <v>17.630000000000003</v>
      </c>
    </row>
    <row r="12" spans="1:12" x14ac:dyDescent="0.25">
      <c r="A12" s="75"/>
      <c r="B12" s="7" t="s">
        <v>18</v>
      </c>
      <c r="C12" s="4" t="s">
        <v>19</v>
      </c>
      <c r="D12" s="4" t="s">
        <v>20</v>
      </c>
      <c r="E12" s="19" t="s">
        <v>34</v>
      </c>
      <c r="F12" s="6">
        <v>2.62</v>
      </c>
      <c r="G12" s="6">
        <v>60</v>
      </c>
      <c r="H12" s="6">
        <v>7.0000000000000007E-2</v>
      </c>
      <c r="I12" s="6">
        <v>0.02</v>
      </c>
      <c r="J12" s="8">
        <v>15</v>
      </c>
      <c r="K12"/>
    </row>
    <row r="13" spans="1:12" ht="15.75" thickBot="1" x14ac:dyDescent="0.3">
      <c r="A13" s="75"/>
      <c r="B13" s="10" t="s">
        <v>14</v>
      </c>
      <c r="C13" s="11" t="s">
        <v>32</v>
      </c>
      <c r="D13" s="11" t="s">
        <v>33</v>
      </c>
      <c r="E13" s="20">
        <v>37</v>
      </c>
      <c r="F13" s="21">
        <v>1.52</v>
      </c>
      <c r="G13" s="21">
        <f>229.7*0.37</f>
        <v>84.98899999999999</v>
      </c>
      <c r="H13" s="12">
        <f>6.7*0.37</f>
        <v>2.4790000000000001</v>
      </c>
      <c r="I13" s="12">
        <f>1.1*0.37</f>
        <v>0.40700000000000003</v>
      </c>
      <c r="J13" s="13">
        <f>48.3*0.37</f>
        <v>17.870999999999999</v>
      </c>
    </row>
    <row r="14" spans="1:12" ht="16.5" thickBot="1" x14ac:dyDescent="0.3">
      <c r="A14" s="63" t="s">
        <v>15</v>
      </c>
      <c r="B14" s="64"/>
      <c r="C14" s="64"/>
      <c r="D14" s="64"/>
      <c r="E14" s="65"/>
      <c r="F14" s="39">
        <f>SUM(F9:F13)</f>
        <v>45</v>
      </c>
      <c r="G14" s="39">
        <f t="shared" ref="G14:J14" si="0">SUM(G9:G13)</f>
        <v>524.23900000000003</v>
      </c>
      <c r="H14" s="39">
        <f t="shared" si="0"/>
        <v>15.862000000000002</v>
      </c>
      <c r="I14" s="39">
        <f t="shared" si="0"/>
        <v>20.957000000000001</v>
      </c>
      <c r="J14" s="39">
        <f t="shared" si="0"/>
        <v>66.423500000000004</v>
      </c>
    </row>
    <row r="15" spans="1:12" s="38" customFormat="1" ht="15.75" x14ac:dyDescent="0.25">
      <c r="A15" s="76" t="s">
        <v>29</v>
      </c>
      <c r="B15" s="40" t="s">
        <v>31</v>
      </c>
      <c r="C15" s="15" t="s">
        <v>51</v>
      </c>
      <c r="D15" s="15" t="s">
        <v>54</v>
      </c>
      <c r="E15" s="16">
        <v>20</v>
      </c>
      <c r="F15" s="17">
        <v>3.55</v>
      </c>
      <c r="G15" s="17">
        <f>11*0.4</f>
        <v>4.4000000000000004</v>
      </c>
      <c r="H15" s="17">
        <f>0.55*0.4</f>
        <v>0.22000000000000003</v>
      </c>
      <c r="I15" s="17">
        <f>0.1*0.4</f>
        <v>4.0000000000000008E-2</v>
      </c>
      <c r="J15" s="18">
        <f>1.9*0.4</f>
        <v>0.76</v>
      </c>
    </row>
    <row r="16" spans="1:12" s="30" customFormat="1" ht="30" x14ac:dyDescent="0.25">
      <c r="A16" s="51"/>
      <c r="B16" s="7" t="s">
        <v>16</v>
      </c>
      <c r="C16" s="4" t="s">
        <v>49</v>
      </c>
      <c r="D16" s="4" t="s">
        <v>50</v>
      </c>
      <c r="E16" s="19" t="s">
        <v>35</v>
      </c>
      <c r="F16" s="6">
        <v>12.33</v>
      </c>
      <c r="G16" s="6">
        <f>359*0.25+162*0.1</f>
        <v>105.95</v>
      </c>
      <c r="H16" s="6">
        <f>7.06*0.25+2.6*0.1</f>
        <v>2.0249999999999999</v>
      </c>
      <c r="I16" s="6">
        <f>19.8*0.25+15*0.1</f>
        <v>6.45</v>
      </c>
      <c r="J16" s="8">
        <f>31.61*0.25+3.6*0.1</f>
        <v>8.2624999999999993</v>
      </c>
      <c r="K16"/>
    </row>
    <row r="17" spans="1:11" s="30" customFormat="1" x14ac:dyDescent="0.25">
      <c r="A17" s="51"/>
      <c r="B17" s="7" t="s">
        <v>13</v>
      </c>
      <c r="C17" s="4" t="s">
        <v>43</v>
      </c>
      <c r="D17" s="4" t="s">
        <v>44</v>
      </c>
      <c r="E17" s="19">
        <v>55</v>
      </c>
      <c r="F17" s="6">
        <v>23.91</v>
      </c>
      <c r="G17" s="6">
        <f>161*1.1</f>
        <v>177.10000000000002</v>
      </c>
      <c r="H17" s="6">
        <f>7.61*1.1</f>
        <v>8.3710000000000004</v>
      </c>
      <c r="I17" s="6">
        <f>11.07*1.1</f>
        <v>12.177000000000001</v>
      </c>
      <c r="J17" s="8">
        <f>7.66*1.1</f>
        <v>8.4260000000000002</v>
      </c>
      <c r="K17"/>
    </row>
    <row r="18" spans="1:11" s="30" customFormat="1" x14ac:dyDescent="0.25">
      <c r="A18" s="51"/>
      <c r="B18" s="7" t="s">
        <v>17</v>
      </c>
      <c r="C18" s="4" t="s">
        <v>45</v>
      </c>
      <c r="D18" s="4" t="s">
        <v>46</v>
      </c>
      <c r="E18" s="19">
        <v>120</v>
      </c>
      <c r="F18" s="6">
        <v>8.16</v>
      </c>
      <c r="G18" s="6">
        <f>1123*0.12</f>
        <v>134.76</v>
      </c>
      <c r="H18" s="6">
        <f>36.78*0.12</f>
        <v>4.4135999999999997</v>
      </c>
      <c r="I18" s="6">
        <f>30.1*0.12</f>
        <v>3.6120000000000001</v>
      </c>
      <c r="J18" s="8">
        <f>176.3*0.12</f>
        <v>21.155999999999999</v>
      </c>
    </row>
    <row r="19" spans="1:11" ht="15.75" x14ac:dyDescent="0.25">
      <c r="A19" s="51"/>
      <c r="B19" s="7" t="s">
        <v>55</v>
      </c>
      <c r="C19" s="42" t="s">
        <v>56</v>
      </c>
      <c r="D19" s="43" t="s">
        <v>57</v>
      </c>
      <c r="E19" s="19">
        <v>200</v>
      </c>
      <c r="F19" s="6">
        <v>17.260000000000002</v>
      </c>
      <c r="G19" s="6">
        <f>574*0.2</f>
        <v>114.80000000000001</v>
      </c>
      <c r="H19" s="31">
        <f>3.9*0.2</f>
        <v>0.78</v>
      </c>
      <c r="I19" s="31">
        <f>0.23*0.2</f>
        <v>4.6000000000000006E-2</v>
      </c>
      <c r="J19" s="32">
        <f>138.15*0.2</f>
        <v>27.630000000000003</v>
      </c>
      <c r="K19"/>
    </row>
    <row r="20" spans="1:11" s="48" customFormat="1" x14ac:dyDescent="0.25">
      <c r="A20" s="51"/>
      <c r="B20" s="7" t="s">
        <v>21</v>
      </c>
      <c r="C20" s="4" t="s">
        <v>65</v>
      </c>
      <c r="D20" s="4" t="s">
        <v>66</v>
      </c>
      <c r="E20" s="19">
        <v>50</v>
      </c>
      <c r="F20" s="6">
        <v>3.87</v>
      </c>
      <c r="G20" s="6">
        <f>283*0.5</f>
        <v>141.5</v>
      </c>
      <c r="H20" s="5">
        <f>7.9*0.5</f>
        <v>3.95</v>
      </c>
      <c r="I20" s="5">
        <f>8.12*0.5</f>
        <v>4.0599999999999996</v>
      </c>
      <c r="J20" s="9">
        <f>44.48*0.5</f>
        <v>22.24</v>
      </c>
    </row>
    <row r="21" spans="1:11" s="38" customFormat="1" ht="15.75" thickBot="1" x14ac:dyDescent="0.3">
      <c r="A21" s="52"/>
      <c r="B21" s="10" t="s">
        <v>14</v>
      </c>
      <c r="C21" s="11" t="s">
        <v>32</v>
      </c>
      <c r="D21" s="11" t="s">
        <v>33</v>
      </c>
      <c r="E21" s="20">
        <v>10.5</v>
      </c>
      <c r="F21" s="21">
        <v>0.42</v>
      </c>
      <c r="G21" s="21">
        <f>229.7*0.105</f>
        <v>24.118499999999997</v>
      </c>
      <c r="H21" s="12">
        <f>6.7*0.105</f>
        <v>0.70350000000000001</v>
      </c>
      <c r="I21" s="12">
        <f>1.1*0.105</f>
        <v>0.11550000000000001</v>
      </c>
      <c r="J21" s="13">
        <f>48.3*0.105</f>
        <v>5.0714999999999995</v>
      </c>
    </row>
    <row r="22" spans="1:11" ht="16.5" thickBot="1" x14ac:dyDescent="0.3">
      <c r="A22" s="55" t="s">
        <v>15</v>
      </c>
      <c r="B22" s="61"/>
      <c r="C22" s="61"/>
      <c r="D22" s="61"/>
      <c r="E22" s="62"/>
      <c r="F22" s="22">
        <f>SUM(F15:F21)</f>
        <v>69.500000000000014</v>
      </c>
      <c r="G22" s="22">
        <f t="shared" ref="G22:J22" si="1">SUM(G15:G21)</f>
        <v>702.62850000000003</v>
      </c>
      <c r="H22" s="22">
        <f t="shared" si="1"/>
        <v>20.463099999999997</v>
      </c>
      <c r="I22" s="22">
        <f t="shared" si="1"/>
        <v>26.500500000000002</v>
      </c>
      <c r="J22" s="22">
        <f t="shared" si="1"/>
        <v>93.545999999999992</v>
      </c>
      <c r="K22"/>
    </row>
    <row r="23" spans="1:11" s="38" customFormat="1" x14ac:dyDescent="0.25">
      <c r="A23" s="74" t="s">
        <v>30</v>
      </c>
      <c r="B23" s="23" t="s">
        <v>67</v>
      </c>
      <c r="C23" s="24" t="s">
        <v>68</v>
      </c>
      <c r="D23" s="24" t="s">
        <v>69</v>
      </c>
      <c r="E23" s="16" t="s">
        <v>34</v>
      </c>
      <c r="F23" s="17">
        <v>14.43</v>
      </c>
      <c r="G23" s="17">
        <f>424*0.2</f>
        <v>84.800000000000011</v>
      </c>
      <c r="H23" s="17">
        <f>5*0.2</f>
        <v>1</v>
      </c>
      <c r="I23" s="17">
        <f>0</f>
        <v>0</v>
      </c>
      <c r="J23" s="18">
        <f>101*0.2</f>
        <v>20.200000000000003</v>
      </c>
      <c r="K23"/>
    </row>
    <row r="24" spans="1:11" s="38" customFormat="1" x14ac:dyDescent="0.25">
      <c r="A24" s="75"/>
      <c r="B24" s="7" t="s">
        <v>42</v>
      </c>
      <c r="C24" s="4" t="s">
        <v>41</v>
      </c>
      <c r="D24" s="4" t="s">
        <v>70</v>
      </c>
      <c r="E24" s="19">
        <v>28</v>
      </c>
      <c r="F24" s="6">
        <v>5.49</v>
      </c>
      <c r="G24" s="46">
        <f>450*0.28</f>
        <v>126.00000000000001</v>
      </c>
      <c r="H24" s="46">
        <f>7.5*0.28</f>
        <v>2.1</v>
      </c>
      <c r="I24" s="46">
        <f>16*0.28</f>
        <v>4.4800000000000004</v>
      </c>
      <c r="J24" s="47">
        <f>66*0.28</f>
        <v>18.48</v>
      </c>
      <c r="K24"/>
    </row>
    <row r="25" spans="1:11" s="38" customFormat="1" ht="15.75" thickBot="1" x14ac:dyDescent="0.3">
      <c r="A25" s="75"/>
      <c r="B25" s="10" t="s">
        <v>47</v>
      </c>
      <c r="C25" s="11" t="s">
        <v>48</v>
      </c>
      <c r="D25" s="11" t="s">
        <v>71</v>
      </c>
      <c r="E25" s="20">
        <v>218</v>
      </c>
      <c r="F25" s="21">
        <v>25.08</v>
      </c>
      <c r="G25" s="44">
        <f>47*2.18</f>
        <v>102.46000000000001</v>
      </c>
      <c r="H25" s="44">
        <f>0.4*2.18</f>
        <v>0.87200000000000011</v>
      </c>
      <c r="I25" s="44">
        <f>0.4*2.18</f>
        <v>0.87200000000000011</v>
      </c>
      <c r="J25" s="45">
        <f>9.8*2.18</f>
        <v>21.364000000000004</v>
      </c>
    </row>
    <row r="26" spans="1:11" ht="16.5" thickBot="1" x14ac:dyDescent="0.3">
      <c r="A26" s="55" t="s">
        <v>15</v>
      </c>
      <c r="B26" s="56"/>
      <c r="C26" s="56"/>
      <c r="D26" s="56"/>
      <c r="E26" s="57"/>
      <c r="F26" s="3">
        <f>SUM(F23:F25)</f>
        <v>45</v>
      </c>
      <c r="G26" s="3">
        <f t="shared" ref="G26:J26" si="2">SUM(G23:G25)</f>
        <v>313.26</v>
      </c>
      <c r="H26" s="3">
        <f t="shared" si="2"/>
        <v>3.9720000000000004</v>
      </c>
      <c r="I26" s="3">
        <f t="shared" si="2"/>
        <v>5.3520000000000003</v>
      </c>
      <c r="J26" s="3">
        <f t="shared" si="2"/>
        <v>60.044000000000011</v>
      </c>
      <c r="K26"/>
    </row>
    <row r="28" spans="1:11" ht="15.75" thickBot="1" x14ac:dyDescent="0.3">
      <c r="A28" s="59" t="s">
        <v>25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1" ht="15.75" x14ac:dyDescent="0.25">
      <c r="A29" s="77"/>
      <c r="B29" s="27"/>
      <c r="C29" s="58" t="s">
        <v>23</v>
      </c>
      <c r="D29" s="58"/>
      <c r="G29" s="60"/>
      <c r="H29" s="60"/>
      <c r="I29" s="60"/>
      <c r="J29" s="60"/>
    </row>
    <row r="30" spans="1:11" x14ac:dyDescent="0.25">
      <c r="A30" s="73"/>
      <c r="B30" s="1"/>
      <c r="C30" s="1"/>
      <c r="D30" s="1"/>
    </row>
    <row r="31" spans="1:11" x14ac:dyDescent="0.25">
      <c r="A31" s="49" t="s">
        <v>24</v>
      </c>
      <c r="B31" s="49"/>
    </row>
    <row r="32" spans="1:11" x14ac:dyDescent="0.25">
      <c r="A32" s="49" t="s">
        <v>26</v>
      </c>
      <c r="B32" s="49"/>
    </row>
    <row r="33" spans="1:1" x14ac:dyDescent="0.25">
      <c r="A33" s="78"/>
    </row>
  </sheetData>
  <mergeCells count="15">
    <mergeCell ref="B1:C1"/>
    <mergeCell ref="G1:J1"/>
    <mergeCell ref="C29:D29"/>
    <mergeCell ref="A28:J28"/>
    <mergeCell ref="G29:J29"/>
    <mergeCell ref="A8:E8"/>
    <mergeCell ref="A9:A13"/>
    <mergeCell ref="A14:E14"/>
    <mergeCell ref="A22:E22"/>
    <mergeCell ref="A31:B31"/>
    <mergeCell ref="A32:B32"/>
    <mergeCell ref="A3:A7"/>
    <mergeCell ref="A23:A25"/>
    <mergeCell ref="A26:E26"/>
    <mergeCell ref="A15:A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6" workbookViewId="0">
      <selection activeCell="F30" sqref="F30:J30"/>
    </sheetView>
  </sheetViews>
  <sheetFormatPr defaultRowHeight="15" x14ac:dyDescent="0.25"/>
  <cols>
    <col min="1" max="1" width="22.140625" style="2" customWidth="1"/>
    <col min="2" max="2" width="19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9" t="s">
        <v>22</v>
      </c>
      <c r="C1" s="70"/>
      <c r="D1" s="1" t="s">
        <v>1</v>
      </c>
      <c r="E1" s="34"/>
      <c r="F1" s="1" t="s">
        <v>2</v>
      </c>
      <c r="G1" s="71">
        <v>44487</v>
      </c>
      <c r="H1" s="72"/>
      <c r="I1" s="72"/>
      <c r="J1" s="72"/>
      <c r="K1" s="1"/>
      <c r="L1" s="1"/>
    </row>
    <row r="2" spans="1:12" ht="16.5" thickTop="1" thickBot="1" x14ac:dyDescent="0.3">
      <c r="A2" s="33" t="s">
        <v>3</v>
      </c>
      <c r="B2" s="35" t="s">
        <v>4</v>
      </c>
      <c r="C2" s="36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  <c r="I2" s="36" t="s">
        <v>11</v>
      </c>
      <c r="J2" s="37" t="s">
        <v>12</v>
      </c>
    </row>
    <row r="3" spans="1:12" ht="15.75" thickTop="1" x14ac:dyDescent="0.25">
      <c r="A3" s="50" t="s">
        <v>36</v>
      </c>
      <c r="B3" s="14" t="s">
        <v>31</v>
      </c>
      <c r="C3" s="15" t="s">
        <v>52</v>
      </c>
      <c r="D3" s="15" t="s">
        <v>53</v>
      </c>
      <c r="E3" s="16">
        <v>24</v>
      </c>
      <c r="F3" s="17">
        <v>19.440000000000001</v>
      </c>
      <c r="G3" s="17">
        <f>3.6*24</f>
        <v>86.4</v>
      </c>
      <c r="H3" s="17">
        <f>6.96/30*24</f>
        <v>5.5680000000000005</v>
      </c>
      <c r="I3" s="17">
        <f>8.85/30*24</f>
        <v>7.08</v>
      </c>
      <c r="J3" s="18">
        <f>0</f>
        <v>0</v>
      </c>
    </row>
    <row r="4" spans="1:12" s="30" customFormat="1" ht="30" x14ac:dyDescent="0.25">
      <c r="A4" s="51"/>
      <c r="B4" s="7" t="s">
        <v>13</v>
      </c>
      <c r="C4" s="4" t="s">
        <v>60</v>
      </c>
      <c r="D4" s="4" t="s">
        <v>61</v>
      </c>
      <c r="E4" s="19" t="s">
        <v>62</v>
      </c>
      <c r="F4" s="6">
        <v>20.93</v>
      </c>
      <c r="G4" s="6">
        <f>289</f>
        <v>289</v>
      </c>
      <c r="H4" s="6">
        <f>8.2</f>
        <v>8.1999999999999993</v>
      </c>
      <c r="I4" s="6">
        <f>10.6</f>
        <v>10.6</v>
      </c>
      <c r="J4" s="8">
        <f>40.1</f>
        <v>40.1</v>
      </c>
    </row>
    <row r="5" spans="1:12" s="30" customFormat="1" x14ac:dyDescent="0.25">
      <c r="A5" s="51"/>
      <c r="B5" s="7" t="s">
        <v>18</v>
      </c>
      <c r="C5" s="4" t="s">
        <v>58</v>
      </c>
      <c r="D5" s="4" t="s">
        <v>59</v>
      </c>
      <c r="E5" s="19">
        <v>200</v>
      </c>
      <c r="F5" s="6">
        <v>13.05</v>
      </c>
      <c r="G5" s="6">
        <v>136</v>
      </c>
      <c r="H5" s="31">
        <v>3.64</v>
      </c>
      <c r="I5" s="31">
        <v>3.35</v>
      </c>
      <c r="J5" s="32">
        <v>22.82</v>
      </c>
    </row>
    <row r="6" spans="1:12" s="30" customFormat="1" x14ac:dyDescent="0.25">
      <c r="A6" s="51"/>
      <c r="B6" s="7" t="s">
        <v>21</v>
      </c>
      <c r="C6" s="4" t="s">
        <v>72</v>
      </c>
      <c r="D6" s="4" t="s">
        <v>73</v>
      </c>
      <c r="E6" s="19">
        <v>50</v>
      </c>
      <c r="F6" s="6">
        <v>3.42</v>
      </c>
      <c r="G6" s="6">
        <f>321*0.5</f>
        <v>160.5</v>
      </c>
      <c r="H6" s="5">
        <f>6.78*0.5</f>
        <v>3.39</v>
      </c>
      <c r="I6" s="5">
        <f>13.96*0.5</f>
        <v>6.98</v>
      </c>
      <c r="J6" s="9">
        <f>42.14*0.5</f>
        <v>21.07</v>
      </c>
    </row>
    <row r="7" spans="1:12" x14ac:dyDescent="0.25">
      <c r="A7" s="51"/>
      <c r="B7" s="7" t="s">
        <v>14</v>
      </c>
      <c r="C7" s="4" t="s">
        <v>32</v>
      </c>
      <c r="D7" s="4" t="s">
        <v>33</v>
      </c>
      <c r="E7" s="19">
        <v>6</v>
      </c>
      <c r="F7" s="6">
        <v>0.24</v>
      </c>
      <c r="G7" s="6">
        <f>229.7*0.06</f>
        <v>13.781999999999998</v>
      </c>
      <c r="H7" s="5">
        <f>6.7*0.06</f>
        <v>0.40199999999999997</v>
      </c>
      <c r="I7" s="5">
        <f>1.1*0.06</f>
        <v>6.6000000000000003E-2</v>
      </c>
      <c r="J7" s="9">
        <f>48.3*0.06</f>
        <v>2.8979999999999997</v>
      </c>
    </row>
    <row r="8" spans="1:12" ht="15.75" thickBot="1" x14ac:dyDescent="0.3">
      <c r="A8" s="51"/>
      <c r="B8" s="10" t="s">
        <v>47</v>
      </c>
      <c r="C8" s="11" t="s">
        <v>48</v>
      </c>
      <c r="D8" s="11" t="s">
        <v>63</v>
      </c>
      <c r="E8" s="20">
        <v>50</v>
      </c>
      <c r="F8" s="21">
        <v>12.42</v>
      </c>
      <c r="G8" s="44">
        <f>47*0.5</f>
        <v>23.5</v>
      </c>
      <c r="H8" s="44">
        <f>0.4*0.5</f>
        <v>0.2</v>
      </c>
      <c r="I8" s="44">
        <f>0.3*0.5</f>
        <v>0.15</v>
      </c>
      <c r="J8" s="45">
        <f>10.3*0.5</f>
        <v>5.15</v>
      </c>
    </row>
    <row r="9" spans="1:12" ht="16.5" thickBot="1" x14ac:dyDescent="0.3">
      <c r="A9" s="55" t="s">
        <v>15</v>
      </c>
      <c r="B9" s="61"/>
      <c r="C9" s="61"/>
      <c r="D9" s="61"/>
      <c r="E9" s="62"/>
      <c r="F9" s="22">
        <f>SUM(F3:F8)</f>
        <v>69.5</v>
      </c>
      <c r="G9" s="22">
        <f>SUM(G3:G8)</f>
        <v>709.18200000000002</v>
      </c>
      <c r="H9" s="22">
        <f>SUM(H3:H8)</f>
        <v>21.400000000000002</v>
      </c>
      <c r="I9" s="22">
        <f>SUM(I3:I8)</f>
        <v>28.225999999999999</v>
      </c>
      <c r="J9" s="22">
        <f>SUM(J3:J8)</f>
        <v>92.038000000000011</v>
      </c>
    </row>
    <row r="10" spans="1:12" s="41" customFormat="1" ht="30.75" thickTop="1" x14ac:dyDescent="0.25">
      <c r="A10" s="50" t="s">
        <v>37</v>
      </c>
      <c r="B10" s="23" t="s">
        <v>13</v>
      </c>
      <c r="C10" s="24" t="s">
        <v>60</v>
      </c>
      <c r="D10" s="24" t="s">
        <v>61</v>
      </c>
      <c r="E10" s="16" t="s">
        <v>62</v>
      </c>
      <c r="F10" s="17">
        <v>20.93</v>
      </c>
      <c r="G10" s="17">
        <f>289</f>
        <v>289</v>
      </c>
      <c r="H10" s="17">
        <f>8.2</f>
        <v>8.1999999999999993</v>
      </c>
      <c r="I10" s="17">
        <f>10.6</f>
        <v>10.6</v>
      </c>
      <c r="J10" s="18">
        <f>40.1</f>
        <v>40.1</v>
      </c>
    </row>
    <row r="11" spans="1:12" s="41" customFormat="1" x14ac:dyDescent="0.25">
      <c r="A11" s="51"/>
      <c r="B11" s="7" t="s">
        <v>18</v>
      </c>
      <c r="C11" s="4" t="s">
        <v>19</v>
      </c>
      <c r="D11" s="4" t="s">
        <v>20</v>
      </c>
      <c r="E11" s="19" t="s">
        <v>74</v>
      </c>
      <c r="F11" s="6">
        <v>2.65</v>
      </c>
      <c r="G11" s="6">
        <v>60</v>
      </c>
      <c r="H11" s="6">
        <v>7.0000000000000007E-2</v>
      </c>
      <c r="I11" s="6">
        <v>0.02</v>
      </c>
      <c r="J11" s="8">
        <v>15</v>
      </c>
    </row>
    <row r="12" spans="1:12" s="48" customFormat="1" ht="15.75" thickBot="1" x14ac:dyDescent="0.3">
      <c r="A12" s="51"/>
      <c r="B12" s="10" t="s">
        <v>21</v>
      </c>
      <c r="C12" s="11" t="s">
        <v>72</v>
      </c>
      <c r="D12" s="11" t="s">
        <v>73</v>
      </c>
      <c r="E12" s="20">
        <v>50</v>
      </c>
      <c r="F12" s="21">
        <v>3.42</v>
      </c>
      <c r="G12" s="21">
        <f>321*0.5</f>
        <v>160.5</v>
      </c>
      <c r="H12" s="12">
        <f>6.78*0.5</f>
        <v>3.39</v>
      </c>
      <c r="I12" s="12">
        <f>13.96*0.5</f>
        <v>6.98</v>
      </c>
      <c r="J12" s="13">
        <f>42.14*0.5</f>
        <v>21.07</v>
      </c>
    </row>
    <row r="13" spans="1:12" ht="16.5" thickBot="1" x14ac:dyDescent="0.3">
      <c r="A13" s="55" t="s">
        <v>15</v>
      </c>
      <c r="B13" s="61"/>
      <c r="C13" s="61"/>
      <c r="D13" s="61"/>
      <c r="E13" s="62"/>
      <c r="F13" s="22">
        <f>SUM(F10:F12)</f>
        <v>27</v>
      </c>
      <c r="G13" s="22">
        <f t="shared" ref="G13:J13" si="0">SUM(G10:G12)</f>
        <v>509.5</v>
      </c>
      <c r="H13" s="22">
        <f t="shared" si="0"/>
        <v>11.66</v>
      </c>
      <c r="I13" s="22">
        <f t="shared" si="0"/>
        <v>17.600000000000001</v>
      </c>
      <c r="J13" s="22">
        <f t="shared" si="0"/>
        <v>76.17</v>
      </c>
    </row>
    <row r="14" spans="1:12" ht="15.75" thickTop="1" x14ac:dyDescent="0.25">
      <c r="A14" s="50" t="s">
        <v>39</v>
      </c>
      <c r="B14" s="14" t="s">
        <v>31</v>
      </c>
      <c r="C14" s="15" t="s">
        <v>75</v>
      </c>
      <c r="D14" s="15" t="s">
        <v>76</v>
      </c>
      <c r="E14" s="89" t="s">
        <v>77</v>
      </c>
      <c r="F14" s="16">
        <v>4.38</v>
      </c>
      <c r="G14" s="28">
        <f>66*0.4+280*0.19</f>
        <v>79.600000000000009</v>
      </c>
      <c r="H14" s="28">
        <f>0.08*0.4+8*0.19</f>
        <v>1.552</v>
      </c>
      <c r="I14" s="28">
        <f>7.25+3*0.19</f>
        <v>7.82</v>
      </c>
      <c r="J14" s="29">
        <f>0.13*0.4+54*0.19</f>
        <v>10.311999999999999</v>
      </c>
    </row>
    <row r="15" spans="1:12" ht="15.75" thickBot="1" x14ac:dyDescent="0.3">
      <c r="A15" s="51"/>
      <c r="B15" s="10" t="s">
        <v>18</v>
      </c>
      <c r="C15" s="11" t="s">
        <v>19</v>
      </c>
      <c r="D15" s="11" t="s">
        <v>20</v>
      </c>
      <c r="E15" s="20" t="s">
        <v>34</v>
      </c>
      <c r="F15" s="21">
        <v>2.62</v>
      </c>
      <c r="G15" s="21">
        <v>60</v>
      </c>
      <c r="H15" s="21">
        <v>7.0000000000000007E-2</v>
      </c>
      <c r="I15" s="21">
        <v>0.02</v>
      </c>
      <c r="J15" s="25">
        <v>15</v>
      </c>
    </row>
    <row r="16" spans="1:12" ht="16.5" thickBot="1" x14ac:dyDescent="0.3">
      <c r="A16" s="55" t="s">
        <v>15</v>
      </c>
      <c r="B16" s="61"/>
      <c r="C16" s="61"/>
      <c r="D16" s="61"/>
      <c r="E16" s="62"/>
      <c r="F16" s="22">
        <f>SUM(F14:F15)</f>
        <v>7</v>
      </c>
      <c r="G16" s="22">
        <f t="shared" ref="G16:J16" si="1">SUM(G14:G15)</f>
        <v>139.60000000000002</v>
      </c>
      <c r="H16" s="22">
        <f t="shared" si="1"/>
        <v>1.6220000000000001</v>
      </c>
      <c r="I16" s="22">
        <f t="shared" si="1"/>
        <v>7.84</v>
      </c>
      <c r="J16" s="22">
        <f t="shared" si="1"/>
        <v>25.311999999999998</v>
      </c>
    </row>
    <row r="17" spans="1:10" ht="30" x14ac:dyDescent="0.25">
      <c r="A17" s="53" t="s">
        <v>38</v>
      </c>
      <c r="B17" s="23" t="s">
        <v>16</v>
      </c>
      <c r="C17" s="24" t="s">
        <v>49</v>
      </c>
      <c r="D17" s="24" t="s">
        <v>50</v>
      </c>
      <c r="E17" s="16" t="s">
        <v>35</v>
      </c>
      <c r="F17" s="17">
        <v>12.33</v>
      </c>
      <c r="G17" s="17">
        <f>359*0.25+162*0.1</f>
        <v>105.95</v>
      </c>
      <c r="H17" s="17">
        <f>7.06*0.25+2.6*0.1</f>
        <v>2.0249999999999999</v>
      </c>
      <c r="I17" s="17">
        <f>19.8*0.25+15*0.1</f>
        <v>6.45</v>
      </c>
      <c r="J17" s="18">
        <f>31.61*0.25+3.6*0.1</f>
        <v>8.2624999999999993</v>
      </c>
    </row>
    <row r="18" spans="1:10" x14ac:dyDescent="0.25">
      <c r="A18" s="54"/>
      <c r="B18" s="7" t="s">
        <v>13</v>
      </c>
      <c r="C18" s="4" t="s">
        <v>43</v>
      </c>
      <c r="D18" s="4" t="s">
        <v>44</v>
      </c>
      <c r="E18" s="19">
        <v>50</v>
      </c>
      <c r="F18" s="6">
        <v>21.73</v>
      </c>
      <c r="G18" s="6">
        <f>161*1</f>
        <v>161</v>
      </c>
      <c r="H18" s="6">
        <f>7.61*1</f>
        <v>7.61</v>
      </c>
      <c r="I18" s="6">
        <f>11.07*1</f>
        <v>11.07</v>
      </c>
      <c r="J18" s="8">
        <f>7.66*1</f>
        <v>7.66</v>
      </c>
    </row>
    <row r="19" spans="1:10" x14ac:dyDescent="0.25">
      <c r="A19" s="54"/>
      <c r="B19" s="7" t="s">
        <v>17</v>
      </c>
      <c r="C19" s="4" t="s">
        <v>45</v>
      </c>
      <c r="D19" s="4" t="s">
        <v>46</v>
      </c>
      <c r="E19" s="19">
        <v>100</v>
      </c>
      <c r="F19" s="6">
        <v>6.8</v>
      </c>
      <c r="G19" s="6">
        <f>1123*0.1</f>
        <v>112.30000000000001</v>
      </c>
      <c r="H19" s="6">
        <f>36.78*0.1</f>
        <v>3.6780000000000004</v>
      </c>
      <c r="I19" s="6">
        <f>30.1*0.1</f>
        <v>3.0100000000000002</v>
      </c>
      <c r="J19" s="8">
        <f>176.3*0.1</f>
        <v>17.630000000000003</v>
      </c>
    </row>
    <row r="20" spans="1:10" x14ac:dyDescent="0.25">
      <c r="A20" s="54"/>
      <c r="B20" s="7" t="s">
        <v>18</v>
      </c>
      <c r="C20" s="4" t="s">
        <v>19</v>
      </c>
      <c r="D20" s="4" t="s">
        <v>20</v>
      </c>
      <c r="E20" s="19" t="s">
        <v>34</v>
      </c>
      <c r="F20" s="6">
        <v>2.62</v>
      </c>
      <c r="G20" s="6">
        <v>60</v>
      </c>
      <c r="H20" s="6">
        <v>7.0000000000000007E-2</v>
      </c>
      <c r="I20" s="6">
        <v>0.02</v>
      </c>
      <c r="J20" s="8">
        <v>15</v>
      </c>
    </row>
    <row r="21" spans="1:10" ht="15.75" thickBot="1" x14ac:dyDescent="0.3">
      <c r="A21" s="54"/>
      <c r="B21" s="10" t="s">
        <v>14</v>
      </c>
      <c r="C21" s="11" t="s">
        <v>32</v>
      </c>
      <c r="D21" s="11" t="s">
        <v>33</v>
      </c>
      <c r="E21" s="20">
        <v>37</v>
      </c>
      <c r="F21" s="21">
        <v>1.52</v>
      </c>
      <c r="G21" s="21">
        <f>229.7*0.37</f>
        <v>84.98899999999999</v>
      </c>
      <c r="H21" s="12">
        <f>6.7*0.37</f>
        <v>2.4790000000000001</v>
      </c>
      <c r="I21" s="12">
        <f>1.1*0.37</f>
        <v>0.40700000000000003</v>
      </c>
      <c r="J21" s="13">
        <f>48.3*0.37</f>
        <v>17.870999999999999</v>
      </c>
    </row>
    <row r="22" spans="1:10" ht="16.5" thickBot="1" x14ac:dyDescent="0.3">
      <c r="A22" s="63" t="s">
        <v>15</v>
      </c>
      <c r="B22" s="67"/>
      <c r="C22" s="67"/>
      <c r="D22" s="67"/>
      <c r="E22" s="68"/>
      <c r="F22" s="26">
        <f>SUM(F17:F21)</f>
        <v>45</v>
      </c>
      <c r="G22" s="26">
        <f t="shared" ref="G22:J22" si="2">SUM(G17:G21)</f>
        <v>524.23900000000003</v>
      </c>
      <c r="H22" s="26">
        <f t="shared" si="2"/>
        <v>15.862000000000002</v>
      </c>
      <c r="I22" s="26">
        <f t="shared" si="2"/>
        <v>20.957000000000001</v>
      </c>
      <c r="J22" s="26">
        <f t="shared" si="2"/>
        <v>66.423500000000004</v>
      </c>
    </row>
    <row r="23" spans="1:10" ht="15.75" x14ac:dyDescent="0.25">
      <c r="A23" s="66" t="s">
        <v>40</v>
      </c>
      <c r="B23" s="40" t="s">
        <v>31</v>
      </c>
      <c r="C23" s="15" t="s">
        <v>51</v>
      </c>
      <c r="D23" s="15" t="s">
        <v>54</v>
      </c>
      <c r="E23" s="16">
        <v>20</v>
      </c>
      <c r="F23" s="17">
        <v>3.55</v>
      </c>
      <c r="G23" s="17">
        <f>11*0.4</f>
        <v>4.4000000000000004</v>
      </c>
      <c r="H23" s="17">
        <f>0.55*0.4</f>
        <v>0.22000000000000003</v>
      </c>
      <c r="I23" s="17">
        <f>0.1*0.4</f>
        <v>4.0000000000000008E-2</v>
      </c>
      <c r="J23" s="18">
        <f>1.9*0.4</f>
        <v>0.76</v>
      </c>
    </row>
    <row r="24" spans="1:10" s="41" customFormat="1" ht="30" x14ac:dyDescent="0.25">
      <c r="A24" s="66"/>
      <c r="B24" s="7" t="s">
        <v>16</v>
      </c>
      <c r="C24" s="4" t="s">
        <v>49</v>
      </c>
      <c r="D24" s="4" t="s">
        <v>50</v>
      </c>
      <c r="E24" s="19" t="s">
        <v>35</v>
      </c>
      <c r="F24" s="6">
        <v>12.33</v>
      </c>
      <c r="G24" s="6">
        <f>359*0.25+162*0.1</f>
        <v>105.95</v>
      </c>
      <c r="H24" s="6">
        <f>7.06*0.25+2.6*0.1</f>
        <v>2.0249999999999999</v>
      </c>
      <c r="I24" s="6">
        <f>19.8*0.25+15*0.1</f>
        <v>6.45</v>
      </c>
      <c r="J24" s="8">
        <f>31.61*0.25+3.6*0.1</f>
        <v>8.2624999999999993</v>
      </c>
    </row>
    <row r="25" spans="1:10" x14ac:dyDescent="0.25">
      <c r="A25" s="66"/>
      <c r="B25" s="7" t="s">
        <v>13</v>
      </c>
      <c r="C25" s="4" t="s">
        <v>43</v>
      </c>
      <c r="D25" s="4" t="s">
        <v>44</v>
      </c>
      <c r="E25" s="19">
        <v>55</v>
      </c>
      <c r="F25" s="6">
        <v>23.91</v>
      </c>
      <c r="G25" s="6">
        <f>161*1.1</f>
        <v>177.10000000000002</v>
      </c>
      <c r="H25" s="6">
        <f>7.61*1.1</f>
        <v>8.3710000000000004</v>
      </c>
      <c r="I25" s="6">
        <f>11.07*1.1</f>
        <v>12.177000000000001</v>
      </c>
      <c r="J25" s="8">
        <f>7.66*1.1</f>
        <v>8.4260000000000002</v>
      </c>
    </row>
    <row r="26" spans="1:10" x14ac:dyDescent="0.25">
      <c r="A26" s="66"/>
      <c r="B26" s="7" t="s">
        <v>17</v>
      </c>
      <c r="C26" s="4" t="s">
        <v>45</v>
      </c>
      <c r="D26" s="4" t="s">
        <v>46</v>
      </c>
      <c r="E26" s="19">
        <v>120</v>
      </c>
      <c r="F26" s="6">
        <v>8.16</v>
      </c>
      <c r="G26" s="6">
        <f>1123*0.12</f>
        <v>134.76</v>
      </c>
      <c r="H26" s="6">
        <f>36.78*0.12</f>
        <v>4.4135999999999997</v>
      </c>
      <c r="I26" s="6">
        <f>30.1*0.12</f>
        <v>3.6120000000000001</v>
      </c>
      <c r="J26" s="8">
        <f>176.3*0.12</f>
        <v>21.155999999999999</v>
      </c>
    </row>
    <row r="27" spans="1:10" ht="30" x14ac:dyDescent="0.25">
      <c r="A27" s="66"/>
      <c r="B27" s="7" t="s">
        <v>55</v>
      </c>
      <c r="C27" s="42" t="s">
        <v>56</v>
      </c>
      <c r="D27" s="43" t="s">
        <v>57</v>
      </c>
      <c r="E27" s="19">
        <v>200</v>
      </c>
      <c r="F27" s="6">
        <v>17.260000000000002</v>
      </c>
      <c r="G27" s="6">
        <f>574*0.2</f>
        <v>114.80000000000001</v>
      </c>
      <c r="H27" s="31">
        <f>3.9*0.2</f>
        <v>0.78</v>
      </c>
      <c r="I27" s="31">
        <f>0.23*0.2</f>
        <v>4.6000000000000006E-2</v>
      </c>
      <c r="J27" s="32">
        <f>138.15*0.2</f>
        <v>27.630000000000003</v>
      </c>
    </row>
    <row r="28" spans="1:10" x14ac:dyDescent="0.25">
      <c r="A28" s="66"/>
      <c r="B28" s="7" t="s">
        <v>21</v>
      </c>
      <c r="C28" s="4" t="s">
        <v>65</v>
      </c>
      <c r="D28" s="4" t="s">
        <v>66</v>
      </c>
      <c r="E28" s="19">
        <v>50</v>
      </c>
      <c r="F28" s="6">
        <v>3.87</v>
      </c>
      <c r="G28" s="6">
        <f>283*0.5</f>
        <v>141.5</v>
      </c>
      <c r="H28" s="5">
        <f>7.9*0.5</f>
        <v>3.95</v>
      </c>
      <c r="I28" s="5">
        <f>8.12*0.5</f>
        <v>4.0599999999999996</v>
      </c>
      <c r="J28" s="9">
        <f>44.48*0.5</f>
        <v>22.24</v>
      </c>
    </row>
    <row r="29" spans="1:10" ht="15.75" thickBot="1" x14ac:dyDescent="0.3">
      <c r="A29" s="66"/>
      <c r="B29" s="10" t="s">
        <v>14</v>
      </c>
      <c r="C29" s="11" t="s">
        <v>32</v>
      </c>
      <c r="D29" s="11" t="s">
        <v>33</v>
      </c>
      <c r="E29" s="20">
        <v>10.5</v>
      </c>
      <c r="F29" s="21">
        <v>0.42</v>
      </c>
      <c r="G29" s="21">
        <f>229.7*0.105</f>
        <v>24.118499999999997</v>
      </c>
      <c r="H29" s="12">
        <f>6.7*0.105</f>
        <v>0.70350000000000001</v>
      </c>
      <c r="I29" s="12">
        <f>1.1*0.105</f>
        <v>0.11550000000000001</v>
      </c>
      <c r="J29" s="13">
        <f>48.3*0.105</f>
        <v>5.0714999999999995</v>
      </c>
    </row>
    <row r="30" spans="1:10" ht="16.5" thickBot="1" x14ac:dyDescent="0.3">
      <c r="A30" s="63" t="s">
        <v>15</v>
      </c>
      <c r="B30" s="67"/>
      <c r="C30" s="67"/>
      <c r="D30" s="67"/>
      <c r="E30" s="68"/>
      <c r="F30" s="26">
        <f>SUM(F23:F29)</f>
        <v>69.500000000000014</v>
      </c>
      <c r="G30" s="26">
        <f t="shared" ref="G30:J30" si="3">SUM(G23:G29)</f>
        <v>702.62850000000003</v>
      </c>
      <c r="H30" s="26">
        <f t="shared" si="3"/>
        <v>20.463099999999997</v>
      </c>
      <c r="I30" s="26">
        <f t="shared" si="3"/>
        <v>26.500500000000002</v>
      </c>
      <c r="J30" s="26">
        <f t="shared" si="3"/>
        <v>93.545999999999992</v>
      </c>
    </row>
    <row r="32" spans="1:10" ht="15.75" thickBot="1" x14ac:dyDescent="0.3">
      <c r="A32" s="59" t="s">
        <v>25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15.75" x14ac:dyDescent="0.25">
      <c r="A33" s="27"/>
      <c r="B33" s="27"/>
      <c r="C33" s="58" t="s">
        <v>23</v>
      </c>
      <c r="D33" s="58"/>
      <c r="G33" s="60"/>
      <c r="H33" s="60"/>
      <c r="I33" s="60"/>
      <c r="J33" s="60"/>
    </row>
    <row r="34" spans="1:10" x14ac:dyDescent="0.25">
      <c r="A34" s="1"/>
      <c r="B34" s="1"/>
      <c r="C34" s="1"/>
      <c r="D34" s="1"/>
    </row>
    <row r="35" spans="1:10" x14ac:dyDescent="0.25">
      <c r="A35" s="49" t="s">
        <v>24</v>
      </c>
      <c r="B35" s="49"/>
    </row>
    <row r="36" spans="1:10" x14ac:dyDescent="0.25">
      <c r="A36" s="49" t="s">
        <v>26</v>
      </c>
      <c r="B36" s="49"/>
    </row>
  </sheetData>
  <mergeCells count="17">
    <mergeCell ref="B1:C1"/>
    <mergeCell ref="G1:J1"/>
    <mergeCell ref="A3:A8"/>
    <mergeCell ref="A9:E9"/>
    <mergeCell ref="A17:A21"/>
    <mergeCell ref="A35:B35"/>
    <mergeCell ref="A36:B36"/>
    <mergeCell ref="A10:A12"/>
    <mergeCell ref="A13:E13"/>
    <mergeCell ref="A14:A15"/>
    <mergeCell ref="A16:E16"/>
    <mergeCell ref="A23:A29"/>
    <mergeCell ref="A30:E30"/>
    <mergeCell ref="A32:J32"/>
    <mergeCell ref="C33:D33"/>
    <mergeCell ref="G33:J33"/>
    <mergeCell ref="A22:E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18.10 1-4 кл</vt:lpstr>
      <vt:lpstr>18.10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2021-10-15T11:18:32Z</dcterms:modified>
</cp:coreProperties>
</file>