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20.10 1-4 кл" sheetId="1" r:id="rId1"/>
    <sheet name="20.10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 l="1"/>
  <c r="I29" i="2"/>
  <c r="H29" i="2"/>
  <c r="G29" i="2"/>
  <c r="J28" i="2"/>
  <c r="I28" i="2"/>
  <c r="H28" i="2"/>
  <c r="G28" i="2"/>
  <c r="J26" i="2"/>
  <c r="I26" i="2"/>
  <c r="H26" i="2"/>
  <c r="G26" i="2"/>
  <c r="J25" i="2"/>
  <c r="I25" i="2"/>
  <c r="H25" i="2"/>
  <c r="G25" i="2"/>
  <c r="J24" i="2"/>
  <c r="I24" i="2"/>
  <c r="H24" i="2"/>
  <c r="G24" i="2"/>
  <c r="J23" i="2"/>
  <c r="I23" i="2"/>
  <c r="H23" i="2"/>
  <c r="G23" i="2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I17" i="2"/>
  <c r="H17" i="2"/>
  <c r="G17" i="2"/>
  <c r="J14" i="2"/>
  <c r="I14" i="2"/>
  <c r="H14" i="2"/>
  <c r="G14" i="2"/>
  <c r="J10" i="2"/>
  <c r="I10" i="2"/>
  <c r="H10" i="2"/>
  <c r="G10" i="2"/>
  <c r="J12" i="2"/>
  <c r="I12" i="2"/>
  <c r="H12" i="2"/>
  <c r="G12" i="2"/>
  <c r="J11" i="2"/>
  <c r="I11" i="2"/>
  <c r="H11" i="2"/>
  <c r="G11" i="2"/>
  <c r="G9" i="2"/>
  <c r="H9" i="2"/>
  <c r="I9" i="2"/>
  <c r="J9" i="2"/>
  <c r="F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J3" i="2"/>
  <c r="I3" i="2"/>
  <c r="H3" i="2"/>
  <c r="G3" i="2"/>
  <c r="G26" i="1"/>
  <c r="H26" i="1"/>
  <c r="I26" i="1"/>
  <c r="J26" i="1"/>
  <c r="F26" i="1"/>
  <c r="J25" i="1"/>
  <c r="I25" i="1"/>
  <c r="H25" i="1"/>
  <c r="G25" i="1"/>
  <c r="F23" i="1" l="1"/>
  <c r="J16" i="1"/>
  <c r="I16" i="1"/>
  <c r="H16" i="1"/>
  <c r="G16" i="1"/>
  <c r="J22" i="1"/>
  <c r="I22" i="1"/>
  <c r="H22" i="1"/>
  <c r="G22" i="1"/>
  <c r="J14" i="1"/>
  <c r="I14" i="1"/>
  <c r="H14" i="1"/>
  <c r="G14" i="1"/>
  <c r="F9" i="1"/>
  <c r="J8" i="1"/>
  <c r="I8" i="1"/>
  <c r="H8" i="1"/>
  <c r="G8" i="1"/>
  <c r="J7" i="1"/>
  <c r="I7" i="1"/>
  <c r="H7" i="1"/>
  <c r="G7" i="1"/>
  <c r="J6" i="1"/>
  <c r="I6" i="1"/>
  <c r="H6" i="1"/>
  <c r="G6" i="1"/>
  <c r="J5" i="1"/>
  <c r="I5" i="1"/>
  <c r="H5" i="1"/>
  <c r="G5" i="1"/>
  <c r="J4" i="1"/>
  <c r="I4" i="1"/>
  <c r="H4" i="1"/>
  <c r="G4" i="1"/>
  <c r="J3" i="1"/>
  <c r="J9" i="1" s="1"/>
  <c r="I3" i="1"/>
  <c r="I9" i="1" s="1"/>
  <c r="H3" i="1"/>
  <c r="H9" i="1" s="1"/>
  <c r="G3" i="1"/>
  <c r="G9" i="1" s="1"/>
  <c r="I30" i="2" l="1"/>
  <c r="H30" i="2"/>
  <c r="J30" i="2"/>
  <c r="F30" i="2"/>
  <c r="G30" i="2"/>
  <c r="G16" i="2"/>
  <c r="H16" i="2"/>
  <c r="I16" i="2"/>
  <c r="J16" i="2"/>
  <c r="F16" i="2"/>
  <c r="J21" i="1" l="1"/>
  <c r="I21" i="1"/>
  <c r="H21" i="1"/>
  <c r="G21" i="1"/>
  <c r="J19" i="1"/>
  <c r="I19" i="1"/>
  <c r="H19" i="1"/>
  <c r="G19" i="1"/>
  <c r="J18" i="1"/>
  <c r="I18" i="1"/>
  <c r="H18" i="1"/>
  <c r="G18" i="1"/>
  <c r="F15" i="1"/>
  <c r="I11" i="1"/>
  <c r="J11" i="1"/>
  <c r="H11" i="1"/>
  <c r="G11" i="1"/>
  <c r="J17" i="1"/>
  <c r="I17" i="1"/>
  <c r="I23" i="1" s="1"/>
  <c r="H17" i="1"/>
  <c r="G17" i="1"/>
  <c r="G23" i="1" s="1"/>
  <c r="J10" i="1"/>
  <c r="I10" i="1"/>
  <c r="H10" i="1"/>
  <c r="G10" i="1"/>
  <c r="H23" i="1" l="1"/>
  <c r="J23" i="1"/>
  <c r="F22" i="2"/>
  <c r="J22" i="2"/>
  <c r="I22" i="2"/>
  <c r="H22" i="2"/>
  <c r="G22" i="2"/>
  <c r="F13" i="2"/>
  <c r="J13" i="2"/>
  <c r="I13" i="2"/>
  <c r="H13" i="2"/>
  <c r="G13" i="2"/>
  <c r="J12" i="1" l="1"/>
  <c r="J15" i="1" s="1"/>
  <c r="I12" i="1"/>
  <c r="I15" i="1" s="1"/>
  <c r="H12" i="1"/>
  <c r="H15" i="1" s="1"/>
  <c r="G12" i="1"/>
  <c r="G15" i="1" s="1"/>
</calcChain>
</file>

<file path=xl/sharedStrings.xml><?xml version="1.0" encoding="utf-8"?>
<sst xmlns="http://schemas.openxmlformats.org/spreadsheetml/2006/main" count="196" uniqueCount="79">
  <si>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</si>
  <si>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</si>
  <si>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</si>
  <si>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</si>
  <si>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</si>
  <si>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</si>
  <si>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</si>
  <si>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</si>
  <si>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</si>
  <si>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</si>
  <si>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</si>
  <si>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</si>
  <si>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</si>
  <si>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</si>
  <si>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</si>
  <si>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</si>
  <si>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</si>
  <si>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</si>
  <si>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</si>
  <si>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</si>
  <si>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</si>
  <si>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</si>
  <si>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</si>
  <si>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</si>
  <si>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</si>
  <si>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</si>
  <si>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</si>
  <si>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</si>
  <si>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</si>
  <si>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</si>
  <si>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</si>
  <si>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</si>
  <si>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</si>
  <si>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</si>
  <si>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</si>
  <si>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250/10/2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</si>
  <si>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</si>
  <si>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</si>
  <si>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</si>
  <si>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</si>
  <si>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</si>
  <si>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Напиток</t>
  </si>
  <si>
    <t>№309-2015г.</t>
  </si>
  <si>
    <t>Макароны отварные</t>
  </si>
  <si>
    <t>Фрукт</t>
  </si>
  <si>
    <t>№304-2015г.</t>
  </si>
  <si>
    <t>Рис отварной</t>
  </si>
  <si>
    <t>№699-2004г.</t>
  </si>
  <si>
    <t>ТТК №18</t>
  </si>
  <si>
    <t>Филе цыплёнка запечённое</t>
  </si>
  <si>
    <t>№82-2015г.</t>
  </si>
  <si>
    <t>Борщ со свежей капустой и картофелем со сметаной и зеленью</t>
  </si>
  <si>
    <t>ТТК №26</t>
  </si>
  <si>
    <t>Котлета "Нежная" из цыплят и свинины</t>
  </si>
  <si>
    <t>Напиток лимонный</t>
  </si>
  <si>
    <t>ТТК №6</t>
  </si>
  <si>
    <t>Булочка "Рулетик с маком"</t>
  </si>
  <si>
    <t>№338-2015г</t>
  </si>
  <si>
    <t>№204-2015г.</t>
  </si>
  <si>
    <t>Макаронные изделия отварные с сыром</t>
  </si>
  <si>
    <t>Напиток (сладкое блюдо)</t>
  </si>
  <si>
    <t>№342-2015г.</t>
  </si>
  <si>
    <t>Компот из свежих яблок</t>
  </si>
  <si>
    <t>Кондитерское изделие</t>
  </si>
  <si>
    <t>ПР</t>
  </si>
  <si>
    <t>Печенье "Курабье"</t>
  </si>
  <si>
    <t>Апельсин свежий (порция)</t>
  </si>
  <si>
    <t>50</t>
  </si>
  <si>
    <t>№306-2015г.</t>
  </si>
  <si>
    <t>Бобовые отварные (кукуруза сахарная консервированная)</t>
  </si>
  <si>
    <t>Молочный коктейль "Авишка" 2,5%</t>
  </si>
  <si>
    <t>200</t>
  </si>
  <si>
    <t>ТТК №10</t>
  </si>
  <si>
    <t>Пирог "Витаминый" с сахарной пудрой</t>
  </si>
  <si>
    <t>66/3,3</t>
  </si>
  <si>
    <t>100/5/15</t>
  </si>
  <si>
    <t>№1-2015г.</t>
  </si>
  <si>
    <t>Бутерброд с маслом сливочным</t>
  </si>
  <si>
    <t>3,5/24,5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</si>
</sst>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2" fillId="0" borderId="22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5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/>
    <xf numFmtId="2" fontId="2" fillId="0" borderId="2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0" xfId="0" applyFont="1"/>
    <xf numFmtId="49" fontId="1" fillId="0" borderId="15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workbookViewId="0">
      <selection activeCell="B16" sqref="B16:J22"/>
    </sheetView>
  </sheetViews>
  <sheetFormatPr defaultRowHeight="15" x14ac:dyDescent="0.25"/>
  <cols>
    <col min="1" max="1" width="24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7" t="s">
        <v>22</v>
      </c>
      <c r="C1" s="58"/>
      <c r="D1" s="1" t="s">
        <v>1</v>
      </c>
      <c r="E1" s="35"/>
      <c r="F1" s="1" t="s">
        <v>2</v>
      </c>
      <c r="G1" s="77">
        <v>44489</v>
      </c>
      <c r="H1" s="78"/>
      <c r="I1" s="78"/>
      <c r="J1" s="79"/>
      <c r="K1" s="1"/>
      <c r="L1" s="1"/>
    </row>
    <row r="2" spans="1:12" ht="15.75" thickBot="1" x14ac:dyDescent="0.3">
      <c r="A2" s="75" t="s">
        <v>3</v>
      </c>
      <c r="B2" s="5" t="s">
        <v>4</v>
      </c>
      <c r="C2" s="74" t="s">
        <v>5</v>
      </c>
      <c r="D2" s="80" t="s">
        <v>6</v>
      </c>
      <c r="E2" s="80" t="s">
        <v>7</v>
      </c>
      <c r="F2" s="80" t="s">
        <v>8</v>
      </c>
      <c r="G2" s="5" t="s">
        <v>9</v>
      </c>
      <c r="H2" s="5" t="s">
        <v>10</v>
      </c>
      <c r="I2" s="5" t="s">
        <v>11</v>
      </c>
      <c r="J2" s="76" t="s">
        <v>12</v>
      </c>
    </row>
    <row r="3" spans="1:12" ht="15.75" customHeight="1" x14ac:dyDescent="0.25">
      <c r="A3" s="49" t="s">
        <v>27</v>
      </c>
      <c r="B3" s="25" t="s">
        <v>13</v>
      </c>
      <c r="C3" s="26" t="s">
        <v>48</v>
      </c>
      <c r="D3" s="26" t="s">
        <v>49</v>
      </c>
      <c r="E3" s="18">
        <v>50</v>
      </c>
      <c r="F3" s="19">
        <v>40.81</v>
      </c>
      <c r="G3" s="19">
        <f>129.15</f>
        <v>129.15</v>
      </c>
      <c r="H3" s="19">
        <f>17.2</f>
        <v>17.2</v>
      </c>
      <c r="I3" s="19">
        <f>3.8</f>
        <v>3.8</v>
      </c>
      <c r="J3" s="20">
        <f>6.6</f>
        <v>6.6</v>
      </c>
    </row>
    <row r="4" spans="1:12" s="32" customFormat="1" x14ac:dyDescent="0.25">
      <c r="A4" s="49"/>
      <c r="B4" s="9" t="s">
        <v>17</v>
      </c>
      <c r="C4" s="6" t="s">
        <v>42</v>
      </c>
      <c r="D4" s="6" t="s">
        <v>43</v>
      </c>
      <c r="E4" s="21">
        <v>100</v>
      </c>
      <c r="F4" s="8">
        <v>6.8</v>
      </c>
      <c r="G4" s="8">
        <f>1123*0.1</f>
        <v>112.30000000000001</v>
      </c>
      <c r="H4" s="8">
        <f>36.78*0.1</f>
        <v>3.6780000000000004</v>
      </c>
      <c r="I4" s="8">
        <f>30.1*0.1</f>
        <v>3.0100000000000002</v>
      </c>
      <c r="J4" s="10">
        <f>176.3*0.1</f>
        <v>17.630000000000003</v>
      </c>
    </row>
    <row r="5" spans="1:12" x14ac:dyDescent="0.25">
      <c r="A5" s="49"/>
      <c r="B5" s="9" t="s">
        <v>60</v>
      </c>
      <c r="C5" s="6" t="s">
        <v>61</v>
      </c>
      <c r="D5" s="6" t="s">
        <v>62</v>
      </c>
      <c r="E5" s="21">
        <v>200</v>
      </c>
      <c r="F5" s="8">
        <v>7.24</v>
      </c>
      <c r="G5" s="8">
        <f>573*0.2</f>
        <v>114.60000000000001</v>
      </c>
      <c r="H5" s="8">
        <f>0.8*0.2</f>
        <v>0.16000000000000003</v>
      </c>
      <c r="I5" s="8">
        <f>0.8*0.2</f>
        <v>0.16000000000000003</v>
      </c>
      <c r="J5" s="10">
        <f>139.4*0.2</f>
        <v>27.880000000000003</v>
      </c>
    </row>
    <row r="6" spans="1:12" s="39" customFormat="1" x14ac:dyDescent="0.25">
      <c r="A6" s="49"/>
      <c r="B6" s="9" t="s">
        <v>63</v>
      </c>
      <c r="C6" s="6" t="s">
        <v>64</v>
      </c>
      <c r="D6" s="6" t="s">
        <v>65</v>
      </c>
      <c r="E6" s="21">
        <v>15</v>
      </c>
      <c r="F6" s="8">
        <v>2.94</v>
      </c>
      <c r="G6" s="8">
        <f>450*0.15</f>
        <v>67.5</v>
      </c>
      <c r="H6" s="8">
        <f>7.5*0.15</f>
        <v>1.125</v>
      </c>
      <c r="I6" s="8">
        <f>16*0.15</f>
        <v>2.4</v>
      </c>
      <c r="J6" s="10">
        <f>66*0.15</f>
        <v>9.9</v>
      </c>
      <c r="K6"/>
    </row>
    <row r="7" spans="1:12" s="32" customFormat="1" x14ac:dyDescent="0.25">
      <c r="A7" s="49"/>
      <c r="B7" s="9" t="s">
        <v>14</v>
      </c>
      <c r="C7" s="6" t="s">
        <v>32</v>
      </c>
      <c r="D7" s="6" t="s">
        <v>33</v>
      </c>
      <c r="E7" s="21">
        <v>15</v>
      </c>
      <c r="F7" s="8">
        <v>0.62</v>
      </c>
      <c r="G7" s="8">
        <f>229.7*0.15</f>
        <v>34.454999999999998</v>
      </c>
      <c r="H7" s="7">
        <f>6.7*0.15</f>
        <v>1.0049999999999999</v>
      </c>
      <c r="I7" s="7">
        <f>1.1*0.15</f>
        <v>0.16500000000000001</v>
      </c>
      <c r="J7" s="11">
        <f>48.3*0.15</f>
        <v>7.2449999999999992</v>
      </c>
    </row>
    <row r="8" spans="1:12" s="47" customFormat="1" ht="15.75" thickBot="1" x14ac:dyDescent="0.3">
      <c r="A8" s="56"/>
      <c r="B8" s="12" t="s">
        <v>44</v>
      </c>
      <c r="C8" s="13" t="s">
        <v>57</v>
      </c>
      <c r="D8" s="13" t="s">
        <v>66</v>
      </c>
      <c r="E8" s="43" t="s">
        <v>67</v>
      </c>
      <c r="F8" s="14">
        <v>11.09</v>
      </c>
      <c r="G8" s="44">
        <f>43*0.5</f>
        <v>21.5</v>
      </c>
      <c r="H8" s="44">
        <f>0.9*0.5</f>
        <v>0.45</v>
      </c>
      <c r="I8" s="44">
        <f>0.2*0.5</f>
        <v>0.1</v>
      </c>
      <c r="J8" s="45">
        <f>8.1*0.5</f>
        <v>4.05</v>
      </c>
      <c r="K8"/>
    </row>
    <row r="9" spans="1:12" ht="16.5" thickBot="1" x14ac:dyDescent="0.3">
      <c r="A9" s="52" t="s">
        <v>15</v>
      </c>
      <c r="B9" s="62"/>
      <c r="C9" s="62"/>
      <c r="D9" s="62"/>
      <c r="E9" s="63"/>
      <c r="F9" s="24">
        <f>SUM(F3:F8)</f>
        <v>69.5</v>
      </c>
      <c r="G9" s="24">
        <f t="shared" ref="G9:J9" si="0">SUM(G3:G8)</f>
        <v>479.505</v>
      </c>
      <c r="H9" s="24">
        <f t="shared" si="0"/>
        <v>23.617999999999999</v>
      </c>
      <c r="I9" s="24">
        <f t="shared" si="0"/>
        <v>9.6349999999999998</v>
      </c>
      <c r="J9" s="24">
        <f t="shared" si="0"/>
        <v>73.305000000000007</v>
      </c>
    </row>
    <row r="10" spans="1:12" ht="30" x14ac:dyDescent="0.25">
      <c r="A10" s="50" t="s">
        <v>28</v>
      </c>
      <c r="B10" s="25" t="s">
        <v>16</v>
      </c>
      <c r="C10" s="26" t="s">
        <v>50</v>
      </c>
      <c r="D10" s="26" t="s">
        <v>51</v>
      </c>
      <c r="E10" s="18" t="s">
        <v>35</v>
      </c>
      <c r="F10" s="19">
        <v>12.01</v>
      </c>
      <c r="G10" s="19">
        <f>415*0.25+162*0.1</f>
        <v>119.95</v>
      </c>
      <c r="H10" s="19">
        <f>7.21*0.25+2.6*0.1</f>
        <v>2.0625</v>
      </c>
      <c r="I10" s="19">
        <f>19.68*0.25+15*0.1</f>
        <v>6.42</v>
      </c>
      <c r="J10" s="20">
        <f>43.73*0.25+3.6*0.1</f>
        <v>11.292499999999999</v>
      </c>
      <c r="K10"/>
    </row>
    <row r="11" spans="1:12" x14ac:dyDescent="0.25">
      <c r="A11" s="51"/>
      <c r="B11" s="9" t="s">
        <v>13</v>
      </c>
      <c r="C11" s="6" t="s">
        <v>52</v>
      </c>
      <c r="D11" s="6" t="s">
        <v>53</v>
      </c>
      <c r="E11" s="21">
        <v>45</v>
      </c>
      <c r="F11" s="8">
        <v>21.47</v>
      </c>
      <c r="G11" s="33">
        <f>155.6/50*45</f>
        <v>140.04</v>
      </c>
      <c r="H11" s="33">
        <f>7/50*45</f>
        <v>6.3000000000000007</v>
      </c>
      <c r="I11" s="33">
        <f>11.1/50*45</f>
        <v>9.99</v>
      </c>
      <c r="J11" s="34">
        <f>7/50*45</f>
        <v>6.3000000000000007</v>
      </c>
      <c r="K11"/>
    </row>
    <row r="12" spans="1:12" s="32" customFormat="1" x14ac:dyDescent="0.25">
      <c r="A12" s="51"/>
      <c r="B12" s="9" t="s">
        <v>17</v>
      </c>
      <c r="C12" s="6" t="s">
        <v>45</v>
      </c>
      <c r="D12" s="6" t="s">
        <v>46</v>
      </c>
      <c r="E12" s="21">
        <v>100</v>
      </c>
      <c r="F12" s="8">
        <v>6.97</v>
      </c>
      <c r="G12" s="8">
        <f>1398*0.1</f>
        <v>139.80000000000001</v>
      </c>
      <c r="H12" s="8">
        <f>24.34*0.1</f>
        <v>2.4340000000000002</v>
      </c>
      <c r="I12" s="8">
        <f>35.83*0.1</f>
        <v>3.5830000000000002</v>
      </c>
      <c r="J12" s="10">
        <f>244.56*0.1</f>
        <v>24.456000000000003</v>
      </c>
    </row>
    <row r="13" spans="1:12" x14ac:dyDescent="0.25">
      <c r="A13" s="51"/>
      <c r="B13" s="9" t="s">
        <v>18</v>
      </c>
      <c r="C13" s="6" t="s">
        <v>19</v>
      </c>
      <c r="D13" s="6" t="s">
        <v>20</v>
      </c>
      <c r="E13" s="21" t="s">
        <v>34</v>
      </c>
      <c r="F13" s="8">
        <v>2.74</v>
      </c>
      <c r="G13" s="8">
        <v>60</v>
      </c>
      <c r="H13" s="8">
        <v>7.0000000000000007E-2</v>
      </c>
      <c r="I13" s="8">
        <v>0.02</v>
      </c>
      <c r="J13" s="10">
        <v>15</v>
      </c>
      <c r="K13"/>
    </row>
    <row r="14" spans="1:12" ht="15.75" thickBot="1" x14ac:dyDescent="0.3">
      <c r="A14" s="51"/>
      <c r="B14" s="12" t="s">
        <v>14</v>
      </c>
      <c r="C14" s="13" t="s">
        <v>32</v>
      </c>
      <c r="D14" s="13" t="s">
        <v>33</v>
      </c>
      <c r="E14" s="22">
        <v>44</v>
      </c>
      <c r="F14" s="23">
        <v>1.81</v>
      </c>
      <c r="G14" s="23">
        <f>229.7*0.44</f>
        <v>101.068</v>
      </c>
      <c r="H14" s="14">
        <f>6.7*0.44</f>
        <v>2.948</v>
      </c>
      <c r="I14" s="14">
        <f>1.1*0.44</f>
        <v>0.48400000000000004</v>
      </c>
      <c r="J14" s="15">
        <f>48.3*0.44</f>
        <v>21.251999999999999</v>
      </c>
    </row>
    <row r="15" spans="1:12" ht="16.5" thickBot="1" x14ac:dyDescent="0.3">
      <c r="A15" s="64" t="s">
        <v>15</v>
      </c>
      <c r="B15" s="65"/>
      <c r="C15" s="65"/>
      <c r="D15" s="65"/>
      <c r="E15" s="66"/>
      <c r="F15" s="40">
        <f>SUM(F10:F14)</f>
        <v>45</v>
      </c>
      <c r="G15" s="40">
        <f t="shared" ref="G15:J15" si="1">SUM(G10:G14)</f>
        <v>560.85800000000006</v>
      </c>
      <c r="H15" s="40">
        <f t="shared" si="1"/>
        <v>13.814500000000002</v>
      </c>
      <c r="I15" s="40">
        <f t="shared" si="1"/>
        <v>20.497000000000003</v>
      </c>
      <c r="J15" s="40">
        <f t="shared" si="1"/>
        <v>78.3005</v>
      </c>
    </row>
    <row r="16" spans="1:12" s="32" customFormat="1" ht="30" x14ac:dyDescent="0.25">
      <c r="A16" s="55" t="s">
        <v>29</v>
      </c>
      <c r="B16" s="41" t="s">
        <v>31</v>
      </c>
      <c r="C16" s="17" t="s">
        <v>68</v>
      </c>
      <c r="D16" s="17" t="s">
        <v>69</v>
      </c>
      <c r="E16" s="18">
        <v>15</v>
      </c>
      <c r="F16" s="19">
        <v>7.28</v>
      </c>
      <c r="G16" s="19">
        <f>736*0.015</f>
        <v>11.04</v>
      </c>
      <c r="H16" s="19">
        <f>20.55*0.015</f>
        <v>0.30825000000000002</v>
      </c>
      <c r="I16" s="19">
        <f>29.1*0.015</f>
        <v>0.4365</v>
      </c>
      <c r="J16" s="20">
        <f>97.89*0.015</f>
        <v>1.46835</v>
      </c>
    </row>
    <row r="17" spans="1:11" s="39" customFormat="1" ht="30" x14ac:dyDescent="0.25">
      <c r="A17" s="49"/>
      <c r="B17" s="9" t="s">
        <v>16</v>
      </c>
      <c r="C17" s="6" t="s">
        <v>50</v>
      </c>
      <c r="D17" s="6" t="s">
        <v>51</v>
      </c>
      <c r="E17" s="21" t="s">
        <v>35</v>
      </c>
      <c r="F17" s="8">
        <v>12.01</v>
      </c>
      <c r="G17" s="8">
        <f>415*0.25+162*0.1</f>
        <v>119.95</v>
      </c>
      <c r="H17" s="8">
        <f>7.21*0.25+2.6*0.1</f>
        <v>2.0625</v>
      </c>
      <c r="I17" s="8">
        <f>19.68*0.25+15*0.1</f>
        <v>6.42</v>
      </c>
      <c r="J17" s="10">
        <f>43.73*0.25+3.6*0.1</f>
        <v>11.292499999999999</v>
      </c>
      <c r="K17"/>
    </row>
    <row r="18" spans="1:11" s="32" customFormat="1" x14ac:dyDescent="0.25">
      <c r="A18" s="49"/>
      <c r="B18" s="9" t="s">
        <v>13</v>
      </c>
      <c r="C18" s="6" t="s">
        <v>52</v>
      </c>
      <c r="D18" s="6" t="s">
        <v>53</v>
      </c>
      <c r="E18" s="21">
        <v>60</v>
      </c>
      <c r="F18" s="8">
        <v>28.62</v>
      </c>
      <c r="G18" s="33">
        <f>155.6/50*60</f>
        <v>186.72</v>
      </c>
      <c r="H18" s="33">
        <f>7/50*60</f>
        <v>8.4</v>
      </c>
      <c r="I18" s="33">
        <f>11.1/50*60</f>
        <v>13.32</v>
      </c>
      <c r="J18" s="34">
        <f>7/50*60</f>
        <v>8.4</v>
      </c>
      <c r="K18"/>
    </row>
    <row r="19" spans="1:11" s="32" customFormat="1" x14ac:dyDescent="0.25">
      <c r="A19" s="49"/>
      <c r="B19" s="9" t="s">
        <v>17</v>
      </c>
      <c r="C19" s="6" t="s">
        <v>45</v>
      </c>
      <c r="D19" s="6" t="s">
        <v>46</v>
      </c>
      <c r="E19" s="21">
        <v>120</v>
      </c>
      <c r="F19" s="8">
        <v>8.3699999999999992</v>
      </c>
      <c r="G19" s="8">
        <f>1398*0.12</f>
        <v>167.76</v>
      </c>
      <c r="H19" s="8">
        <f>24.34*0.12</f>
        <v>2.9207999999999998</v>
      </c>
      <c r="I19" s="8">
        <f>35.83*0.12</f>
        <v>4.2995999999999999</v>
      </c>
      <c r="J19" s="10">
        <f>244.56*0.12</f>
        <v>29.347200000000001</v>
      </c>
    </row>
    <row r="20" spans="1:11" x14ac:dyDescent="0.25">
      <c r="A20" s="49"/>
      <c r="B20" s="9" t="s">
        <v>41</v>
      </c>
      <c r="C20" s="6" t="s">
        <v>47</v>
      </c>
      <c r="D20" s="6" t="s">
        <v>54</v>
      </c>
      <c r="E20" s="21">
        <v>200</v>
      </c>
      <c r="F20" s="8">
        <v>5.68</v>
      </c>
      <c r="G20" s="8">
        <v>96</v>
      </c>
      <c r="H20" s="33">
        <v>0.1</v>
      </c>
      <c r="I20" s="33">
        <v>0</v>
      </c>
      <c r="J20" s="34">
        <v>25.2</v>
      </c>
      <c r="K20"/>
    </row>
    <row r="21" spans="1:11" s="39" customFormat="1" x14ac:dyDescent="0.25">
      <c r="A21" s="49"/>
      <c r="B21" s="9" t="s">
        <v>21</v>
      </c>
      <c r="C21" s="6" t="s">
        <v>55</v>
      </c>
      <c r="D21" s="6" t="s">
        <v>56</v>
      </c>
      <c r="E21" s="21">
        <v>50</v>
      </c>
      <c r="F21" s="8">
        <v>6.79</v>
      </c>
      <c r="G21" s="8">
        <f>397.2/100*50</f>
        <v>198.6</v>
      </c>
      <c r="H21" s="7">
        <f>8.2/100*50</f>
        <v>4.0999999999999996</v>
      </c>
      <c r="I21" s="7">
        <f>15.4/100*50</f>
        <v>7.7</v>
      </c>
      <c r="J21" s="11">
        <f>56.4/100*50</f>
        <v>28.199999999999996</v>
      </c>
    </row>
    <row r="22" spans="1:11" s="39" customFormat="1" ht="15.75" thickBot="1" x14ac:dyDescent="0.3">
      <c r="A22" s="56"/>
      <c r="B22" s="12" t="s">
        <v>14</v>
      </c>
      <c r="C22" s="13" t="s">
        <v>32</v>
      </c>
      <c r="D22" s="13" t="s">
        <v>33</v>
      </c>
      <c r="E22" s="22">
        <v>18.5</v>
      </c>
      <c r="F22" s="23">
        <v>0.75</v>
      </c>
      <c r="G22" s="23">
        <f>229.7*0.185</f>
        <v>42.494499999999995</v>
      </c>
      <c r="H22" s="14">
        <f>6.7*0.185</f>
        <v>1.2395</v>
      </c>
      <c r="I22" s="14">
        <f>1.1*0.185</f>
        <v>0.20350000000000001</v>
      </c>
      <c r="J22" s="15">
        <f>48.3*0.185</f>
        <v>8.9354999999999993</v>
      </c>
    </row>
    <row r="23" spans="1:11" ht="16.5" thickBot="1" x14ac:dyDescent="0.3">
      <c r="A23" s="52" t="s">
        <v>15</v>
      </c>
      <c r="B23" s="62"/>
      <c r="C23" s="62"/>
      <c r="D23" s="62"/>
      <c r="E23" s="63"/>
      <c r="F23" s="24">
        <f>SUM(F16:F22)</f>
        <v>69.5</v>
      </c>
      <c r="G23" s="24">
        <f t="shared" ref="G23:J23" si="2">SUM(G16:G22)</f>
        <v>822.56450000000007</v>
      </c>
      <c r="H23" s="24">
        <f t="shared" si="2"/>
        <v>19.131049999999998</v>
      </c>
      <c r="I23" s="24">
        <f t="shared" si="2"/>
        <v>32.379600000000003</v>
      </c>
      <c r="J23" s="24">
        <f t="shared" si="2"/>
        <v>112.84355000000001</v>
      </c>
      <c r="K23"/>
    </row>
    <row r="24" spans="1:11" s="32" customFormat="1" x14ac:dyDescent="0.25">
      <c r="A24" s="50" t="s">
        <v>30</v>
      </c>
      <c r="B24" s="25" t="s">
        <v>41</v>
      </c>
      <c r="C24" s="26" t="s">
        <v>64</v>
      </c>
      <c r="D24" s="26" t="s">
        <v>70</v>
      </c>
      <c r="E24" s="46" t="s">
        <v>71</v>
      </c>
      <c r="F24" s="19">
        <v>34.299999999999997</v>
      </c>
      <c r="G24" s="19">
        <v>160</v>
      </c>
      <c r="H24" s="19">
        <v>5</v>
      </c>
      <c r="I24" s="19">
        <v>6.2</v>
      </c>
      <c r="J24" s="20">
        <v>22</v>
      </c>
      <c r="K24"/>
    </row>
    <row r="25" spans="1:11" s="39" customFormat="1" ht="15.75" thickBot="1" x14ac:dyDescent="0.3">
      <c r="A25" s="51"/>
      <c r="B25" s="12" t="s">
        <v>21</v>
      </c>
      <c r="C25" s="13" t="s">
        <v>72</v>
      </c>
      <c r="D25" s="13" t="s">
        <v>73</v>
      </c>
      <c r="E25" s="22" t="s">
        <v>74</v>
      </c>
      <c r="F25" s="23">
        <v>10.7</v>
      </c>
      <c r="G25" s="23">
        <f>207.5*0.66</f>
        <v>136.95000000000002</v>
      </c>
      <c r="H25" s="23">
        <f>4.3*0.66</f>
        <v>2.8380000000000001</v>
      </c>
      <c r="I25" s="23">
        <f>2.8*0.66</f>
        <v>1.8479999999999999</v>
      </c>
      <c r="J25" s="27">
        <f>41.4*0.66</f>
        <v>27.324000000000002</v>
      </c>
      <c r="K25"/>
    </row>
    <row r="26" spans="1:11" ht="16.5" thickBot="1" x14ac:dyDescent="0.3">
      <c r="A26" s="52" t="s">
        <v>15</v>
      </c>
      <c r="B26" s="53"/>
      <c r="C26" s="53"/>
      <c r="D26" s="53"/>
      <c r="E26" s="54"/>
      <c r="F26" s="3">
        <f>SUM(F24:F25)</f>
        <v>45</v>
      </c>
      <c r="G26" s="3">
        <f t="shared" ref="G26:J26" si="3">SUM(G24:G25)</f>
        <v>296.95000000000005</v>
      </c>
      <c r="H26" s="3">
        <f t="shared" si="3"/>
        <v>7.8380000000000001</v>
      </c>
      <c r="I26" s="3">
        <f t="shared" si="3"/>
        <v>8.048</v>
      </c>
      <c r="J26" s="3">
        <f t="shared" si="3"/>
        <v>49.323999999999998</v>
      </c>
      <c r="K26"/>
    </row>
    <row r="28" spans="1:11" ht="15.75" thickBot="1" x14ac:dyDescent="0.3">
      <c r="A28" s="60" t="s">
        <v>25</v>
      </c>
      <c r="B28" s="60"/>
      <c r="C28" s="60"/>
      <c r="D28" s="60"/>
      <c r="E28" s="60"/>
      <c r="F28" s="60"/>
      <c r="G28" s="60"/>
      <c r="H28" s="60"/>
      <c r="I28" s="60"/>
      <c r="J28" s="60"/>
    </row>
    <row r="29" spans="1:11" ht="15.75" x14ac:dyDescent="0.25">
      <c r="A29" s="29"/>
      <c r="B29" s="29"/>
      <c r="C29" s="59" t="s">
        <v>23</v>
      </c>
      <c r="D29" s="59"/>
      <c r="G29" s="61"/>
      <c r="H29" s="61"/>
      <c r="I29" s="61"/>
      <c r="J29" s="61"/>
    </row>
    <row r="30" spans="1:11" x14ac:dyDescent="0.25">
      <c r="A30" s="1"/>
      <c r="B30" s="1"/>
      <c r="C30" s="1"/>
      <c r="D30" s="1"/>
    </row>
    <row r="31" spans="1:11" x14ac:dyDescent="0.25">
      <c r="A31" s="48" t="s">
        <v>24</v>
      </c>
      <c r="B31" s="48"/>
    </row>
    <row r="32" spans="1:11" x14ac:dyDescent="0.25">
      <c r="A32" s="48" t="s">
        <v>26</v>
      </c>
      <c r="B32" s="48"/>
    </row>
    <row r="33" spans="1:1" x14ac:dyDescent="0.25">
      <c r="A33" s="4"/>
    </row>
  </sheetData>
  <mergeCells count="15">
    <mergeCell ref="B1:C1"/>
    <mergeCell ref="G1:J1"/>
    <mergeCell ref="C29:D29"/>
    <mergeCell ref="A28:J28"/>
    <mergeCell ref="G29:J29"/>
    <mergeCell ref="A9:E9"/>
    <mergeCell ref="A10:A14"/>
    <mergeCell ref="A15:E15"/>
    <mergeCell ref="A23:E23"/>
    <mergeCell ref="A3:A8"/>
    <mergeCell ref="A31:B31"/>
    <mergeCell ref="A32:B32"/>
    <mergeCell ref="A24:A25"/>
    <mergeCell ref="A26:E26"/>
    <mergeCell ref="A16:A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22" workbookViewId="0">
      <selection activeCell="B23" sqref="B23:J29"/>
    </sheetView>
  </sheetViews>
  <sheetFormatPr defaultRowHeight="15" x14ac:dyDescent="0.25"/>
  <cols>
    <col min="1" max="1" width="35.85546875" style="2" customWidth="1"/>
    <col min="2" max="2" width="24.7109375" style="2" customWidth="1"/>
    <col min="3" max="3" width="12.28515625" style="2" customWidth="1"/>
    <col min="4" max="4" width="38.28515625" style="2" customWidth="1"/>
    <col min="5" max="5" width="10.140625" style="2" bestFit="1" customWidth="1"/>
    <col min="6" max="6" width="9.140625" style="2"/>
    <col min="7" max="7" width="14" style="2" customWidth="1"/>
    <col min="8" max="8" width="7.28515625" style="2" customWidth="1"/>
    <col min="9" max="9" width="8" style="2" customWidth="1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70" t="s">
        <v>22</v>
      </c>
      <c r="C1" s="71"/>
      <c r="D1" s="1" t="s">
        <v>1</v>
      </c>
      <c r="E1" s="35"/>
      <c r="F1" s="1" t="s">
        <v>2</v>
      </c>
      <c r="G1" s="72">
        <v>44489</v>
      </c>
      <c r="H1" s="73"/>
      <c r="I1" s="73"/>
      <c r="J1" s="73"/>
      <c r="K1" s="1"/>
      <c r="L1" s="1"/>
    </row>
    <row r="2" spans="1:12" ht="15.75" thickBot="1" x14ac:dyDescent="0.3">
      <c r="A2" s="75" t="s">
        <v>3</v>
      </c>
      <c r="B2" s="36" t="s">
        <v>4</v>
      </c>
      <c r="C2" s="37" t="s">
        <v>5</v>
      </c>
      <c r="D2" s="37" t="s">
        <v>6</v>
      </c>
      <c r="E2" s="37" t="s">
        <v>7</v>
      </c>
      <c r="F2" s="37" t="s">
        <v>8</v>
      </c>
      <c r="G2" s="37" t="s">
        <v>9</v>
      </c>
      <c r="H2" s="37" t="s">
        <v>10</v>
      </c>
      <c r="I2" s="37" t="s">
        <v>11</v>
      </c>
      <c r="J2" s="38" t="s">
        <v>12</v>
      </c>
    </row>
    <row r="3" spans="1:12" x14ac:dyDescent="0.25">
      <c r="A3" s="82" t="s">
        <v>36</v>
      </c>
      <c r="B3" s="25" t="s">
        <v>13</v>
      </c>
      <c r="C3" s="26" t="s">
        <v>48</v>
      </c>
      <c r="D3" s="26" t="s">
        <v>49</v>
      </c>
      <c r="E3" s="18">
        <v>50</v>
      </c>
      <c r="F3" s="19">
        <v>40.81</v>
      </c>
      <c r="G3" s="19">
        <f>129.15</f>
        <v>129.15</v>
      </c>
      <c r="H3" s="19">
        <f>17.2</f>
        <v>17.2</v>
      </c>
      <c r="I3" s="19">
        <f>3.8</f>
        <v>3.8</v>
      </c>
      <c r="J3" s="20">
        <f>6.6</f>
        <v>6.6</v>
      </c>
    </row>
    <row r="4" spans="1:12" s="32" customFormat="1" x14ac:dyDescent="0.25">
      <c r="A4" s="83"/>
      <c r="B4" s="9" t="s">
        <v>17</v>
      </c>
      <c r="C4" s="6" t="s">
        <v>42</v>
      </c>
      <c r="D4" s="6" t="s">
        <v>43</v>
      </c>
      <c r="E4" s="21">
        <v>100</v>
      </c>
      <c r="F4" s="8">
        <v>6.8</v>
      </c>
      <c r="G4" s="8">
        <f>1123*0.1</f>
        <v>112.30000000000001</v>
      </c>
      <c r="H4" s="8">
        <f>36.78*0.1</f>
        <v>3.6780000000000004</v>
      </c>
      <c r="I4" s="8">
        <f>30.1*0.1</f>
        <v>3.0100000000000002</v>
      </c>
      <c r="J4" s="10">
        <f>176.3*0.1</f>
        <v>17.630000000000003</v>
      </c>
    </row>
    <row r="5" spans="1:12" s="32" customFormat="1" x14ac:dyDescent="0.25">
      <c r="A5" s="83"/>
      <c r="B5" s="9" t="s">
        <v>60</v>
      </c>
      <c r="C5" s="6" t="s">
        <v>61</v>
      </c>
      <c r="D5" s="6" t="s">
        <v>62</v>
      </c>
      <c r="E5" s="21">
        <v>200</v>
      </c>
      <c r="F5" s="8">
        <v>7.24</v>
      </c>
      <c r="G5" s="8">
        <f>573*0.2</f>
        <v>114.60000000000001</v>
      </c>
      <c r="H5" s="8">
        <f>0.8*0.2</f>
        <v>0.16000000000000003</v>
      </c>
      <c r="I5" s="8">
        <f>0.8*0.2</f>
        <v>0.16000000000000003</v>
      </c>
      <c r="J5" s="10">
        <f>139.4*0.2</f>
        <v>27.880000000000003</v>
      </c>
    </row>
    <row r="6" spans="1:12" s="32" customFormat="1" x14ac:dyDescent="0.25">
      <c r="A6" s="83"/>
      <c r="B6" s="9" t="s">
        <v>63</v>
      </c>
      <c r="C6" s="6" t="s">
        <v>64</v>
      </c>
      <c r="D6" s="6" t="s">
        <v>65</v>
      </c>
      <c r="E6" s="21">
        <v>15</v>
      </c>
      <c r="F6" s="8">
        <v>2.94</v>
      </c>
      <c r="G6" s="8">
        <f>450*0.15</f>
        <v>67.5</v>
      </c>
      <c r="H6" s="8">
        <f>7.5*0.15</f>
        <v>1.125</v>
      </c>
      <c r="I6" s="8">
        <f>16*0.15</f>
        <v>2.4</v>
      </c>
      <c r="J6" s="10">
        <f>66*0.15</f>
        <v>9.9</v>
      </c>
    </row>
    <row r="7" spans="1:12" s="47" customFormat="1" x14ac:dyDescent="0.25">
      <c r="A7" s="83"/>
      <c r="B7" s="9" t="s">
        <v>14</v>
      </c>
      <c r="C7" s="6" t="s">
        <v>32</v>
      </c>
      <c r="D7" s="6" t="s">
        <v>33</v>
      </c>
      <c r="E7" s="21">
        <v>15</v>
      </c>
      <c r="F7" s="8">
        <v>0.62</v>
      </c>
      <c r="G7" s="8">
        <f>229.7*0.15</f>
        <v>34.454999999999998</v>
      </c>
      <c r="H7" s="7">
        <f>6.7*0.15</f>
        <v>1.0049999999999999</v>
      </c>
      <c r="I7" s="7">
        <f>1.1*0.15</f>
        <v>0.16500000000000001</v>
      </c>
      <c r="J7" s="11">
        <f>48.3*0.15</f>
        <v>7.2449999999999992</v>
      </c>
    </row>
    <row r="8" spans="1:12" ht="15.75" thickBot="1" x14ac:dyDescent="0.3">
      <c r="A8" s="84"/>
      <c r="B8" s="12" t="s">
        <v>44</v>
      </c>
      <c r="C8" s="13" t="s">
        <v>57</v>
      </c>
      <c r="D8" s="13" t="s">
        <v>66</v>
      </c>
      <c r="E8" s="43" t="s">
        <v>67</v>
      </c>
      <c r="F8" s="14">
        <v>11.09</v>
      </c>
      <c r="G8" s="44">
        <f>43*0.5</f>
        <v>21.5</v>
      </c>
      <c r="H8" s="44">
        <f>0.9*0.5</f>
        <v>0.45</v>
      </c>
      <c r="I8" s="44">
        <f>0.2*0.5</f>
        <v>0.1</v>
      </c>
      <c r="J8" s="45">
        <f>8.1*0.5</f>
        <v>4.05</v>
      </c>
    </row>
    <row r="9" spans="1:12" ht="16.5" thickBot="1" x14ac:dyDescent="0.3">
      <c r="A9" s="85" t="s">
        <v>15</v>
      </c>
      <c r="B9" s="62"/>
      <c r="C9" s="62"/>
      <c r="D9" s="62"/>
      <c r="E9" s="63"/>
      <c r="F9" s="24">
        <f>SUM(F3:F8)</f>
        <v>69.5</v>
      </c>
      <c r="G9" s="24">
        <f t="shared" ref="G9:J9" si="0">SUM(G3:G8)</f>
        <v>479.505</v>
      </c>
      <c r="H9" s="24">
        <f t="shared" si="0"/>
        <v>23.617999999999999</v>
      </c>
      <c r="I9" s="24">
        <f t="shared" si="0"/>
        <v>9.6349999999999998</v>
      </c>
      <c r="J9" s="24">
        <f t="shared" si="0"/>
        <v>73.305000000000007</v>
      </c>
    </row>
    <row r="10" spans="1:12" s="32" customFormat="1" x14ac:dyDescent="0.25">
      <c r="A10" s="82" t="s">
        <v>37</v>
      </c>
      <c r="B10" s="25" t="s">
        <v>13</v>
      </c>
      <c r="C10" s="26" t="s">
        <v>58</v>
      </c>
      <c r="D10" s="26" t="s">
        <v>59</v>
      </c>
      <c r="E10" s="18" t="s">
        <v>75</v>
      </c>
      <c r="F10" s="19">
        <v>18.850000000000001</v>
      </c>
      <c r="G10" s="19">
        <f>137*1+360*0.15</f>
        <v>191</v>
      </c>
      <c r="H10" s="19">
        <f>3.82*1+23.2*0.15</f>
        <v>7.3</v>
      </c>
      <c r="I10" s="19">
        <f>4.05*1+29.5*0.15</f>
        <v>8.4749999999999996</v>
      </c>
      <c r="J10" s="20">
        <f>21.32*1+0</f>
        <v>21.32</v>
      </c>
    </row>
    <row r="11" spans="1:12" s="47" customFormat="1" x14ac:dyDescent="0.25">
      <c r="A11" s="83"/>
      <c r="B11" s="9" t="s">
        <v>60</v>
      </c>
      <c r="C11" s="6" t="s">
        <v>61</v>
      </c>
      <c r="D11" s="6" t="s">
        <v>62</v>
      </c>
      <c r="E11" s="21">
        <v>200</v>
      </c>
      <c r="F11" s="8">
        <v>7.24</v>
      </c>
      <c r="G11" s="8">
        <f>573*0.2</f>
        <v>114.60000000000001</v>
      </c>
      <c r="H11" s="8">
        <f>0.8*0.2</f>
        <v>0.16000000000000003</v>
      </c>
      <c r="I11" s="8">
        <f>0.8*0.2</f>
        <v>0.16000000000000003</v>
      </c>
      <c r="J11" s="10">
        <f>139.4*0.2</f>
        <v>27.880000000000003</v>
      </c>
    </row>
    <row r="12" spans="1:12" s="42" customFormat="1" ht="15.75" thickBot="1" x14ac:dyDescent="0.3">
      <c r="A12" s="84"/>
      <c r="B12" s="12" t="s">
        <v>14</v>
      </c>
      <c r="C12" s="13" t="s">
        <v>32</v>
      </c>
      <c r="D12" s="13" t="s">
        <v>33</v>
      </c>
      <c r="E12" s="22">
        <v>22.5</v>
      </c>
      <c r="F12" s="23">
        <v>0.91</v>
      </c>
      <c r="G12" s="23">
        <f>229.7*0.225</f>
        <v>51.682499999999997</v>
      </c>
      <c r="H12" s="14">
        <f>6.7*0.225</f>
        <v>1.5075000000000001</v>
      </c>
      <c r="I12" s="14">
        <f>1.1*0.225</f>
        <v>0.24750000000000003</v>
      </c>
      <c r="J12" s="15">
        <f>48.3*0.225</f>
        <v>10.8675</v>
      </c>
    </row>
    <row r="13" spans="1:12" ht="16.5" thickBot="1" x14ac:dyDescent="0.3">
      <c r="A13" s="85" t="s">
        <v>15</v>
      </c>
      <c r="B13" s="62"/>
      <c r="C13" s="62"/>
      <c r="D13" s="62"/>
      <c r="E13" s="63"/>
      <c r="F13" s="24">
        <f>SUM(F10:F12)</f>
        <v>27.000000000000004</v>
      </c>
      <c r="G13" s="24">
        <f>SUM(G10:G12)</f>
        <v>357.28250000000003</v>
      </c>
      <c r="H13" s="24">
        <f>SUM(H10:H12)</f>
        <v>8.9674999999999994</v>
      </c>
      <c r="I13" s="24">
        <f>SUM(I10:I12)</f>
        <v>8.8825000000000003</v>
      </c>
      <c r="J13" s="24">
        <f>SUM(J10:J12)</f>
        <v>60.067500000000003</v>
      </c>
    </row>
    <row r="14" spans="1:12" x14ac:dyDescent="0.25">
      <c r="A14" s="82" t="s">
        <v>39</v>
      </c>
      <c r="B14" s="16" t="s">
        <v>31</v>
      </c>
      <c r="C14" s="17" t="s">
        <v>76</v>
      </c>
      <c r="D14" s="17" t="s">
        <v>77</v>
      </c>
      <c r="E14" s="46" t="s">
        <v>78</v>
      </c>
      <c r="F14" s="18">
        <v>4.26</v>
      </c>
      <c r="G14" s="30">
        <f>660*0.035+280*0.245</f>
        <v>91.699999999999989</v>
      </c>
      <c r="H14" s="30">
        <f>0.8*0.035+8*0.245</f>
        <v>1.988</v>
      </c>
      <c r="I14" s="30">
        <f>72.5*0.035+3*0.245</f>
        <v>3.2725</v>
      </c>
      <c r="J14" s="31">
        <f>1.3*0.035+54*0.245</f>
        <v>13.275500000000001</v>
      </c>
    </row>
    <row r="15" spans="1:12" ht="15.75" thickBot="1" x14ac:dyDescent="0.3">
      <c r="A15" s="84"/>
      <c r="B15" s="12" t="s">
        <v>18</v>
      </c>
      <c r="C15" s="13" t="s">
        <v>19</v>
      </c>
      <c r="D15" s="13" t="s">
        <v>20</v>
      </c>
      <c r="E15" s="22" t="s">
        <v>34</v>
      </c>
      <c r="F15" s="23">
        <v>2.74</v>
      </c>
      <c r="G15" s="23">
        <v>60</v>
      </c>
      <c r="H15" s="23">
        <v>7.0000000000000007E-2</v>
      </c>
      <c r="I15" s="23">
        <v>0.02</v>
      </c>
      <c r="J15" s="27">
        <v>15</v>
      </c>
    </row>
    <row r="16" spans="1:12" ht="16.5" thickBot="1" x14ac:dyDescent="0.3">
      <c r="A16" s="81" t="s">
        <v>15</v>
      </c>
      <c r="B16" s="62"/>
      <c r="C16" s="62"/>
      <c r="D16" s="62"/>
      <c r="E16" s="63"/>
      <c r="F16" s="24">
        <f>SUM(F14:F15)</f>
        <v>7</v>
      </c>
      <c r="G16" s="24">
        <f t="shared" ref="G16:J16" si="1">SUM(G14:G15)</f>
        <v>151.69999999999999</v>
      </c>
      <c r="H16" s="24">
        <f t="shared" si="1"/>
        <v>2.0579999999999998</v>
      </c>
      <c r="I16" s="24">
        <f t="shared" si="1"/>
        <v>3.2925</v>
      </c>
      <c r="J16" s="24">
        <f t="shared" si="1"/>
        <v>28.275500000000001</v>
      </c>
    </row>
    <row r="17" spans="1:10" ht="30" x14ac:dyDescent="0.25">
      <c r="A17" s="50" t="s">
        <v>38</v>
      </c>
      <c r="B17" s="25" t="s">
        <v>16</v>
      </c>
      <c r="C17" s="26" t="s">
        <v>50</v>
      </c>
      <c r="D17" s="26" t="s">
        <v>51</v>
      </c>
      <c r="E17" s="18" t="s">
        <v>35</v>
      </c>
      <c r="F17" s="19">
        <v>12.01</v>
      </c>
      <c r="G17" s="19">
        <f>415*0.25+162*0.1</f>
        <v>119.95</v>
      </c>
      <c r="H17" s="19">
        <f>7.21*0.25+2.6*0.1</f>
        <v>2.0625</v>
      </c>
      <c r="I17" s="19">
        <f>19.68*0.25+15*0.1</f>
        <v>6.42</v>
      </c>
      <c r="J17" s="20">
        <f>43.73*0.25+3.6*0.1</f>
        <v>11.292499999999999</v>
      </c>
    </row>
    <row r="18" spans="1:10" x14ac:dyDescent="0.25">
      <c r="A18" s="51"/>
      <c r="B18" s="9" t="s">
        <v>13</v>
      </c>
      <c r="C18" s="6" t="s">
        <v>52</v>
      </c>
      <c r="D18" s="6" t="s">
        <v>53</v>
      </c>
      <c r="E18" s="21">
        <v>45</v>
      </c>
      <c r="F18" s="8">
        <v>21.47</v>
      </c>
      <c r="G18" s="33">
        <f>155.6/50*45</f>
        <v>140.04</v>
      </c>
      <c r="H18" s="33">
        <f>7/50*45</f>
        <v>6.3000000000000007</v>
      </c>
      <c r="I18" s="33">
        <f>11.1/50*45</f>
        <v>9.99</v>
      </c>
      <c r="J18" s="34">
        <f>7/50*45</f>
        <v>6.3000000000000007</v>
      </c>
    </row>
    <row r="19" spans="1:10" x14ac:dyDescent="0.25">
      <c r="A19" s="51"/>
      <c r="B19" s="9" t="s">
        <v>17</v>
      </c>
      <c r="C19" s="6" t="s">
        <v>45</v>
      </c>
      <c r="D19" s="6" t="s">
        <v>46</v>
      </c>
      <c r="E19" s="21">
        <v>100</v>
      </c>
      <c r="F19" s="8">
        <v>6.97</v>
      </c>
      <c r="G19" s="8">
        <f>1398*0.1</f>
        <v>139.80000000000001</v>
      </c>
      <c r="H19" s="8">
        <f>24.34*0.1</f>
        <v>2.4340000000000002</v>
      </c>
      <c r="I19" s="8">
        <f>35.83*0.1</f>
        <v>3.5830000000000002</v>
      </c>
      <c r="J19" s="10">
        <f>244.56*0.1</f>
        <v>24.456000000000003</v>
      </c>
    </row>
    <row r="20" spans="1:10" x14ac:dyDescent="0.25">
      <c r="A20" s="51"/>
      <c r="B20" s="9" t="s">
        <v>18</v>
      </c>
      <c r="C20" s="6" t="s">
        <v>19</v>
      </c>
      <c r="D20" s="6" t="s">
        <v>20</v>
      </c>
      <c r="E20" s="21" t="s">
        <v>34</v>
      </c>
      <c r="F20" s="8">
        <v>2.74</v>
      </c>
      <c r="G20" s="8">
        <v>60</v>
      </c>
      <c r="H20" s="8">
        <v>7.0000000000000007E-2</v>
      </c>
      <c r="I20" s="8">
        <v>0.02</v>
      </c>
      <c r="J20" s="10">
        <v>15</v>
      </c>
    </row>
    <row r="21" spans="1:10" ht="15.75" thickBot="1" x14ac:dyDescent="0.3">
      <c r="A21" s="51"/>
      <c r="B21" s="12" t="s">
        <v>14</v>
      </c>
      <c r="C21" s="13" t="s">
        <v>32</v>
      </c>
      <c r="D21" s="13" t="s">
        <v>33</v>
      </c>
      <c r="E21" s="22">
        <v>44</v>
      </c>
      <c r="F21" s="23">
        <v>1.81</v>
      </c>
      <c r="G21" s="23">
        <f>229.7*0.44</f>
        <v>101.068</v>
      </c>
      <c r="H21" s="14">
        <f>6.7*0.44</f>
        <v>2.948</v>
      </c>
      <c r="I21" s="14">
        <f>1.1*0.44</f>
        <v>0.48400000000000004</v>
      </c>
      <c r="J21" s="15">
        <f>48.3*0.44</f>
        <v>21.251999999999999</v>
      </c>
    </row>
    <row r="22" spans="1:10" ht="16.5" thickBot="1" x14ac:dyDescent="0.3">
      <c r="A22" s="64" t="s">
        <v>15</v>
      </c>
      <c r="B22" s="68"/>
      <c r="C22" s="68"/>
      <c r="D22" s="68"/>
      <c r="E22" s="69"/>
      <c r="F22" s="28">
        <f>SUM(F17:F21)</f>
        <v>45</v>
      </c>
      <c r="G22" s="28">
        <f t="shared" ref="G22:J22" si="2">SUM(G17:G21)</f>
        <v>560.85800000000006</v>
      </c>
      <c r="H22" s="28">
        <f t="shared" si="2"/>
        <v>13.814500000000002</v>
      </c>
      <c r="I22" s="28">
        <f t="shared" si="2"/>
        <v>20.497000000000003</v>
      </c>
      <c r="J22" s="28">
        <f t="shared" si="2"/>
        <v>78.3005</v>
      </c>
    </row>
    <row r="23" spans="1:10" ht="30" x14ac:dyDescent="0.25">
      <c r="A23" s="67" t="s">
        <v>40</v>
      </c>
      <c r="B23" s="41" t="s">
        <v>31</v>
      </c>
      <c r="C23" s="17" t="s">
        <v>68</v>
      </c>
      <c r="D23" s="17" t="s">
        <v>69</v>
      </c>
      <c r="E23" s="18">
        <v>15</v>
      </c>
      <c r="F23" s="19">
        <v>7.28</v>
      </c>
      <c r="G23" s="19">
        <f>736*0.015</f>
        <v>11.04</v>
      </c>
      <c r="H23" s="19">
        <f>20.55*0.015</f>
        <v>0.30825000000000002</v>
      </c>
      <c r="I23" s="19">
        <f>29.1*0.015</f>
        <v>0.4365</v>
      </c>
      <c r="J23" s="20">
        <f>97.89*0.015</f>
        <v>1.46835</v>
      </c>
    </row>
    <row r="24" spans="1:10" ht="30" x14ac:dyDescent="0.25">
      <c r="A24" s="67"/>
      <c r="B24" s="9" t="s">
        <v>16</v>
      </c>
      <c r="C24" s="6" t="s">
        <v>50</v>
      </c>
      <c r="D24" s="6" t="s">
        <v>51</v>
      </c>
      <c r="E24" s="21" t="s">
        <v>35</v>
      </c>
      <c r="F24" s="8">
        <v>12.01</v>
      </c>
      <c r="G24" s="8">
        <f>415*0.25+162*0.1</f>
        <v>119.95</v>
      </c>
      <c r="H24" s="8">
        <f>7.21*0.25+2.6*0.1</f>
        <v>2.0625</v>
      </c>
      <c r="I24" s="8">
        <f>19.68*0.25+15*0.1</f>
        <v>6.42</v>
      </c>
      <c r="J24" s="10">
        <f>43.73*0.25+3.6*0.1</f>
        <v>11.292499999999999</v>
      </c>
    </row>
    <row r="25" spans="1:10" x14ac:dyDescent="0.25">
      <c r="A25" s="67"/>
      <c r="B25" s="9" t="s">
        <v>13</v>
      </c>
      <c r="C25" s="6" t="s">
        <v>52</v>
      </c>
      <c r="D25" s="6" t="s">
        <v>53</v>
      </c>
      <c r="E25" s="21">
        <v>60</v>
      </c>
      <c r="F25" s="8">
        <v>28.62</v>
      </c>
      <c r="G25" s="33">
        <f>155.6/50*60</f>
        <v>186.72</v>
      </c>
      <c r="H25" s="33">
        <f>7/50*60</f>
        <v>8.4</v>
      </c>
      <c r="I25" s="33">
        <f>11.1/50*60</f>
        <v>13.32</v>
      </c>
      <c r="J25" s="34">
        <f>7/50*60</f>
        <v>8.4</v>
      </c>
    </row>
    <row r="26" spans="1:10" x14ac:dyDescent="0.25">
      <c r="A26" s="67"/>
      <c r="B26" s="9" t="s">
        <v>17</v>
      </c>
      <c r="C26" s="6" t="s">
        <v>45</v>
      </c>
      <c r="D26" s="6" t="s">
        <v>46</v>
      </c>
      <c r="E26" s="21">
        <v>120</v>
      </c>
      <c r="F26" s="8">
        <v>8.3699999999999992</v>
      </c>
      <c r="G26" s="8">
        <f>1398*0.12</f>
        <v>167.76</v>
      </c>
      <c r="H26" s="8">
        <f>24.34*0.12</f>
        <v>2.9207999999999998</v>
      </c>
      <c r="I26" s="8">
        <f>35.83*0.12</f>
        <v>4.2995999999999999</v>
      </c>
      <c r="J26" s="10">
        <f>244.56*0.12</f>
        <v>29.347200000000001</v>
      </c>
    </row>
    <row r="27" spans="1:10" s="42" customFormat="1" x14ac:dyDescent="0.25">
      <c r="A27" s="67"/>
      <c r="B27" s="9" t="s">
        <v>41</v>
      </c>
      <c r="C27" s="6" t="s">
        <v>47</v>
      </c>
      <c r="D27" s="6" t="s">
        <v>54</v>
      </c>
      <c r="E27" s="21">
        <v>200</v>
      </c>
      <c r="F27" s="8">
        <v>5.68</v>
      </c>
      <c r="G27" s="8">
        <v>96</v>
      </c>
      <c r="H27" s="33">
        <v>0.1</v>
      </c>
      <c r="I27" s="33">
        <v>0</v>
      </c>
      <c r="J27" s="34">
        <v>25.2</v>
      </c>
    </row>
    <row r="28" spans="1:10" x14ac:dyDescent="0.25">
      <c r="A28" s="67"/>
      <c r="B28" s="9" t="s">
        <v>21</v>
      </c>
      <c r="C28" s="6" t="s">
        <v>55</v>
      </c>
      <c r="D28" s="6" t="s">
        <v>56</v>
      </c>
      <c r="E28" s="21">
        <v>50</v>
      </c>
      <c r="F28" s="8">
        <v>6.79</v>
      </c>
      <c r="G28" s="8">
        <f>397.2/100*50</f>
        <v>198.6</v>
      </c>
      <c r="H28" s="7">
        <f>8.2/100*50</f>
        <v>4.0999999999999996</v>
      </c>
      <c r="I28" s="7">
        <f>15.4/100*50</f>
        <v>7.7</v>
      </c>
      <c r="J28" s="11">
        <f>56.4/100*50</f>
        <v>28.199999999999996</v>
      </c>
    </row>
    <row r="29" spans="1:10" ht="15.75" thickBot="1" x14ac:dyDescent="0.3">
      <c r="A29" s="67"/>
      <c r="B29" s="12" t="s">
        <v>14</v>
      </c>
      <c r="C29" s="13" t="s">
        <v>32</v>
      </c>
      <c r="D29" s="13" t="s">
        <v>33</v>
      </c>
      <c r="E29" s="22">
        <v>18.5</v>
      </c>
      <c r="F29" s="23">
        <v>0.75</v>
      </c>
      <c r="G29" s="23">
        <f>229.7*0.185</f>
        <v>42.494499999999995</v>
      </c>
      <c r="H29" s="14">
        <f>6.7*0.185</f>
        <v>1.2395</v>
      </c>
      <c r="I29" s="14">
        <f>1.1*0.185</f>
        <v>0.20350000000000001</v>
      </c>
      <c r="J29" s="15">
        <f>48.3*0.185</f>
        <v>8.9354999999999993</v>
      </c>
    </row>
    <row r="30" spans="1:10" ht="16.5" thickBot="1" x14ac:dyDescent="0.3">
      <c r="A30" s="64" t="s">
        <v>15</v>
      </c>
      <c r="B30" s="68"/>
      <c r="C30" s="68"/>
      <c r="D30" s="68"/>
      <c r="E30" s="69"/>
      <c r="F30" s="28">
        <f>SUM(F23:F29)</f>
        <v>69.5</v>
      </c>
      <c r="G30" s="28">
        <f t="shared" ref="G30:J30" si="3">SUM(G23:G29)</f>
        <v>822.56450000000007</v>
      </c>
      <c r="H30" s="28">
        <f t="shared" si="3"/>
        <v>19.131049999999998</v>
      </c>
      <c r="I30" s="28">
        <f t="shared" si="3"/>
        <v>32.379600000000003</v>
      </c>
      <c r="J30" s="28">
        <f t="shared" si="3"/>
        <v>112.84355000000001</v>
      </c>
    </row>
    <row r="32" spans="1:10" ht="15.75" thickBot="1" x14ac:dyDescent="0.3">
      <c r="A32" s="60" t="s">
        <v>25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5.75" x14ac:dyDescent="0.25">
      <c r="A33" s="29"/>
      <c r="B33" s="29"/>
      <c r="C33" s="59" t="s">
        <v>23</v>
      </c>
      <c r="D33" s="59"/>
      <c r="G33" s="61"/>
      <c r="H33" s="61"/>
      <c r="I33" s="61"/>
      <c r="J33" s="61"/>
    </row>
    <row r="34" spans="1:10" x14ac:dyDescent="0.25">
      <c r="A34" s="1"/>
      <c r="B34" s="1"/>
      <c r="C34" s="1"/>
      <c r="D34" s="1"/>
    </row>
    <row r="35" spans="1:10" x14ac:dyDescent="0.25">
      <c r="A35" s="48" t="s">
        <v>24</v>
      </c>
      <c r="B35" s="48"/>
    </row>
    <row r="36" spans="1:10" x14ac:dyDescent="0.25">
      <c r="A36" s="48" t="s">
        <v>26</v>
      </c>
      <c r="B36" s="48"/>
    </row>
  </sheetData>
  <mergeCells count="17">
    <mergeCell ref="B1:C1"/>
    <mergeCell ref="G1:J1"/>
    <mergeCell ref="A3:A8"/>
    <mergeCell ref="A9:E9"/>
    <mergeCell ref="A17:A21"/>
    <mergeCell ref="A35:B35"/>
    <mergeCell ref="A36:B36"/>
    <mergeCell ref="A10:A12"/>
    <mergeCell ref="A13:E13"/>
    <mergeCell ref="A14:A15"/>
    <mergeCell ref="A16:E16"/>
    <mergeCell ref="A23:A29"/>
    <mergeCell ref="A30:E30"/>
    <mergeCell ref="A32:J32"/>
    <mergeCell ref="C33:D33"/>
    <mergeCell ref="G33:J33"/>
    <mergeCell ref="A22:E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20.10 1-4 кл</vt:lpstr>
      <vt:lpstr>20.10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2021-10-19T11:57:59Z</dcterms:modified>
</cp:coreProperties>
</file>