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9.11 1-4 кл" sheetId="1" r:id="rId1"/>
    <sheet name="19.11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J20" i="2"/>
  <c r="I20" i="2"/>
  <c r="H20" i="2"/>
  <c r="G20" i="2"/>
  <c r="J18" i="2"/>
  <c r="I18" i="2"/>
  <c r="H18" i="2"/>
  <c r="G18" i="2"/>
  <c r="J17" i="2"/>
  <c r="I17" i="2"/>
  <c r="H17" i="2"/>
  <c r="G17" i="2"/>
  <c r="J16" i="2"/>
  <c r="I16" i="2"/>
  <c r="H16" i="2"/>
  <c r="G16" i="2"/>
  <c r="J28" i="2"/>
  <c r="I28" i="2"/>
  <c r="H28" i="2"/>
  <c r="G28" i="2"/>
  <c r="J27" i="2"/>
  <c r="I27" i="2"/>
  <c r="H27" i="2"/>
  <c r="G27" i="2"/>
  <c r="J25" i="2"/>
  <c r="I25" i="2"/>
  <c r="H25" i="2"/>
  <c r="G25" i="2"/>
  <c r="J24" i="2"/>
  <c r="I24" i="2"/>
  <c r="H24" i="2"/>
  <c r="G24" i="2"/>
  <c r="J23" i="2"/>
  <c r="I23" i="2"/>
  <c r="H23" i="2"/>
  <c r="G23" i="2"/>
  <c r="J22" i="2"/>
  <c r="J29" i="2" s="1"/>
  <c r="I22" i="2"/>
  <c r="H22" i="2"/>
  <c r="H29" i="2" s="1"/>
  <c r="G22" i="2"/>
  <c r="F29" i="2"/>
  <c r="G29" i="2"/>
  <c r="I29" i="2"/>
  <c r="J11" i="2"/>
  <c r="I11" i="2"/>
  <c r="H11" i="2"/>
  <c r="G11" i="2"/>
  <c r="J24" i="1"/>
  <c r="I24" i="1"/>
  <c r="H24" i="1"/>
  <c r="G24" i="1"/>
  <c r="J23" i="1"/>
  <c r="I23" i="1"/>
  <c r="H23" i="1"/>
  <c r="G23" i="1"/>
  <c r="J21" i="1"/>
  <c r="I21" i="1"/>
  <c r="H21" i="1"/>
  <c r="G21" i="1"/>
  <c r="G22" i="1"/>
  <c r="H22" i="1"/>
  <c r="I22" i="1"/>
  <c r="J22" i="1"/>
  <c r="F22" i="1"/>
  <c r="J15" i="1"/>
  <c r="I15" i="1"/>
  <c r="H15" i="1"/>
  <c r="G15" i="1"/>
  <c r="J20" i="1"/>
  <c r="I20" i="1"/>
  <c r="H20" i="1"/>
  <c r="G20" i="1"/>
  <c r="J17" i="1"/>
  <c r="I17" i="1"/>
  <c r="H17" i="1"/>
  <c r="G17" i="1"/>
  <c r="J13" i="1"/>
  <c r="I13" i="1"/>
  <c r="H13" i="1"/>
  <c r="G13" i="1"/>
  <c r="J10" i="1"/>
  <c r="I10" i="1"/>
  <c r="H10" i="1"/>
  <c r="G10" i="1"/>
  <c r="J7" i="2"/>
  <c r="I7" i="2"/>
  <c r="H7" i="2"/>
  <c r="G7" i="2"/>
  <c r="J6" i="2"/>
  <c r="I6" i="2"/>
  <c r="H6" i="2"/>
  <c r="G6" i="2"/>
  <c r="J3" i="2"/>
  <c r="I3" i="2"/>
  <c r="H3" i="2"/>
  <c r="G3" i="2"/>
  <c r="J7" i="1"/>
  <c r="I7" i="1"/>
  <c r="H7" i="1"/>
  <c r="G7" i="1"/>
  <c r="J6" i="1"/>
  <c r="I6" i="1"/>
  <c r="H6" i="1"/>
  <c r="G6" i="1"/>
  <c r="J3" i="1"/>
  <c r="I3" i="1"/>
  <c r="H3" i="1"/>
  <c r="G3" i="1"/>
  <c r="J9" i="2" l="1"/>
  <c r="I9" i="2"/>
  <c r="H9" i="2"/>
  <c r="G9" i="2"/>
  <c r="J25" i="1"/>
  <c r="I25" i="1"/>
  <c r="H25" i="1"/>
  <c r="G25" i="1"/>
  <c r="G26" i="1" s="1"/>
  <c r="H26" i="1"/>
  <c r="I26" i="1"/>
  <c r="J26" i="1"/>
  <c r="F26" i="1"/>
  <c r="G11" i="1"/>
  <c r="J18" i="1" l="1"/>
  <c r="I18" i="1"/>
  <c r="H18" i="1"/>
  <c r="G18" i="1"/>
  <c r="J16" i="1"/>
  <c r="I16" i="1"/>
  <c r="H16" i="1"/>
  <c r="G16" i="1"/>
  <c r="F14" i="1"/>
  <c r="J11" i="1"/>
  <c r="I11" i="1"/>
  <c r="H11" i="1"/>
  <c r="J9" i="1"/>
  <c r="J14" i="1" s="1"/>
  <c r="I9" i="1"/>
  <c r="H9" i="1"/>
  <c r="H14" i="1" s="1"/>
  <c r="G9" i="1"/>
  <c r="G14" i="1" s="1"/>
  <c r="I14" i="1" l="1"/>
  <c r="F8" i="1"/>
  <c r="G8" i="1"/>
  <c r="H8" i="1"/>
  <c r="I8" i="1"/>
  <c r="J8" i="1"/>
  <c r="F15" i="2" l="1"/>
  <c r="H15" i="2"/>
  <c r="F12" i="2"/>
  <c r="J8" i="2"/>
  <c r="F8" i="2"/>
  <c r="H8" i="2"/>
  <c r="I8" i="2"/>
  <c r="G8" i="2"/>
  <c r="G12" i="2" l="1"/>
  <c r="I12" i="2"/>
  <c r="J15" i="2"/>
  <c r="H12" i="2"/>
  <c r="J12" i="2"/>
  <c r="G15" i="2"/>
  <c r="I15" i="2"/>
  <c r="F21" i="2" l="1"/>
  <c r="J21" i="2" l="1"/>
  <c r="I21" i="2"/>
  <c r="H21" i="2"/>
  <c r="G21" i="2"/>
</calcChain>
</file>

<file path=xl/sharedStrings.xml><?xml version="1.0" encoding="utf-8"?>
<sst xmlns="http://schemas.openxmlformats.org/spreadsheetml/2006/main" count="197" uniqueCount="71">
  <si>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</si>
  <si>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</si>
  <si>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</si>
  <si>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</si>
  <si>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</si>
  <si>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</si>
  <si>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</si>
  <si>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</si>
  <si>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</si>
  <si>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</si>
  <si>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</si>
  <si>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</si>
  <si>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</si>
  <si>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</si>
  <si>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</si>
  <si>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</si>
  <si>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</si>
  <si>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</si>
  <si>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</si>
  <si>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</si>
  <si>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</si>
  <si>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</si>
  <si>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</si>
  <si>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</si>
  <si>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</si>
  <si>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</si>
  <si>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</si>
  <si>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</si>
  <si>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</si>
  <si>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</si>
  <si>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</si>
  <si>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</si>
  <si>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</si>
  <si>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</si>
  <si>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</si>
  <si>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5-11 кл с доплатой 62,50 руб. и льготники с доплатой 42,50 руб. 1 смена</t>
  </si>
  <si>
    <t>Завтрак льготный 5-11 кл</t>
  </si>
  <si>
    <t>Завтрак бюджетный 1-я смена и полдник для детей-инвалидов 2-я смена 5-11 кл</t>
  </si>
  <si>
    <t>Напиток</t>
  </si>
  <si>
    <t>40/100</t>
  </si>
  <si>
    <t>ТТК №20</t>
  </si>
  <si>
    <t>Плов "Школьный"</t>
  </si>
  <si>
    <t>Фрукт</t>
  </si>
  <si>
    <t>№338-2015г.</t>
  </si>
  <si>
    <t xml:space="preserve">Обед дети-инвалиды 5-11 кл 1 смена </t>
  </si>
  <si>
    <t>Обед 6-7 кл. 2-я смена</t>
  </si>
  <si>
    <t>№96-2015г.</t>
  </si>
  <si>
    <t>Рассольник ленинградский со сметаной и зеленью</t>
  </si>
  <si>
    <t>250/10/2</t>
  </si>
  <si>
    <t>№268-2015г.</t>
  </si>
  <si>
    <t>Котлета из свинины</t>
  </si>
  <si>
    <t>№309-2015г.</t>
  </si>
  <si>
    <t>Макароны отварные</t>
  </si>
  <si>
    <t>Бутерброд с маслом сливочным</t>
  </si>
  <si>
    <t>Фрукт свежий (яблоко)</t>
  </si>
  <si>
    <t>23/57,5</t>
  </si>
  <si>
    <t>ТТК №89</t>
  </si>
  <si>
    <t>Напиток ягодный из компотной смеси</t>
  </si>
  <si>
    <t>ТТК №3</t>
  </si>
  <si>
    <t>Булочка "Фигурная"</t>
  </si>
  <si>
    <t>Фрукт свежий (мандарин)</t>
  </si>
  <si>
    <t>№52-2015г.</t>
  </si>
  <si>
    <t>50/5</t>
  </si>
  <si>
    <t>Салат из свеклы отварной с маслом растительным</t>
  </si>
  <si>
    <t>ПР</t>
  </si>
  <si>
    <t>Сок фруктовый</t>
  </si>
  <si>
    <t>№410,468-2015г.</t>
  </si>
  <si>
    <t>Ватрушка из дрожжевого теста с творожным фаршем</t>
  </si>
  <si>
    <t>75</t>
  </si>
  <si>
    <t>№2-2015г.</t>
  </si>
  <si>
    <t>15/19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</si>
</sst>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2" fontId="5" fillId="0" borderId="5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/>
    <xf numFmtId="2" fontId="2" fillId="0" borderId="30" xfId="0" applyNumberFormat="1" applyFont="1" applyBorder="1" applyAlignment="1">
      <alignment vertical="center" wrapText="1"/>
    </xf>
    <xf numFmtId="0" fontId="1" fillId="0" borderId="0" xfId="0" applyFont="1"/>
    <xf numFmtId="49" fontId="1" fillId="0" borderId="5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10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/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B9" sqref="B9:J13"/>
    </sheetView>
  </sheetViews>
  <sheetFormatPr defaultRowHeight="15" x14ac:dyDescent="0.25"/>
  <cols>
    <col min="1" max="1" width="20.140625" style="2" customWidth="1"/>
    <col min="2" max="2" width="24.710937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3" t="s">
        <v>22</v>
      </c>
      <c r="C1" s="54"/>
      <c r="D1" s="1" t="s">
        <v>1</v>
      </c>
      <c r="E1" s="35"/>
      <c r="F1" s="1" t="s">
        <v>2</v>
      </c>
      <c r="G1" s="55">
        <v>44519</v>
      </c>
      <c r="H1" s="56"/>
      <c r="I1" s="56"/>
      <c r="J1" s="57"/>
      <c r="K1" s="1"/>
      <c r="L1" s="1"/>
    </row>
    <row r="2" spans="1:12" ht="15.75" thickBot="1" x14ac:dyDescent="0.3">
      <c r="A2" s="49" t="s">
        <v>3</v>
      </c>
      <c r="B2" s="5" t="s">
        <v>4</v>
      </c>
      <c r="C2" s="50" t="s">
        <v>5</v>
      </c>
      <c r="D2" s="86" t="s">
        <v>6</v>
      </c>
      <c r="E2" s="86" t="s">
        <v>7</v>
      </c>
      <c r="F2" s="86" t="s">
        <v>8</v>
      </c>
      <c r="G2" s="5" t="s">
        <v>9</v>
      </c>
      <c r="H2" s="5" t="s">
        <v>10</v>
      </c>
      <c r="I2" s="5" t="s">
        <v>11</v>
      </c>
      <c r="J2" s="51" t="s">
        <v>12</v>
      </c>
    </row>
    <row r="3" spans="1:12" ht="15" customHeight="1" x14ac:dyDescent="0.25">
      <c r="A3" s="71" t="s">
        <v>27</v>
      </c>
      <c r="B3" s="25" t="s">
        <v>13</v>
      </c>
      <c r="C3" s="26" t="s">
        <v>40</v>
      </c>
      <c r="D3" s="26" t="s">
        <v>41</v>
      </c>
      <c r="E3" s="18" t="s">
        <v>39</v>
      </c>
      <c r="F3" s="19">
        <v>40.909999999999997</v>
      </c>
      <c r="G3" s="46">
        <f>280.7</f>
        <v>280.7</v>
      </c>
      <c r="H3" s="46">
        <f>14</f>
        <v>14</v>
      </c>
      <c r="I3" s="46">
        <f>14.1</f>
        <v>14.1</v>
      </c>
      <c r="J3" s="47">
        <f>24.5</f>
        <v>24.5</v>
      </c>
    </row>
    <row r="4" spans="1:12" s="43" customFormat="1" x14ac:dyDescent="0.25">
      <c r="A4" s="71"/>
      <c r="B4" s="9" t="s">
        <v>38</v>
      </c>
      <c r="C4" s="6" t="s">
        <v>56</v>
      </c>
      <c r="D4" s="6" t="s">
        <v>57</v>
      </c>
      <c r="E4" s="21">
        <v>200</v>
      </c>
      <c r="F4" s="8">
        <v>8.74</v>
      </c>
      <c r="G4" s="8">
        <v>111</v>
      </c>
      <c r="H4" s="30">
        <v>0.7</v>
      </c>
      <c r="I4" s="30">
        <v>0</v>
      </c>
      <c r="J4" s="31">
        <v>27</v>
      </c>
      <c r="K4"/>
    </row>
    <row r="5" spans="1:12" x14ac:dyDescent="0.25">
      <c r="A5" s="71"/>
      <c r="B5" s="9" t="s">
        <v>21</v>
      </c>
      <c r="C5" s="6" t="s">
        <v>58</v>
      </c>
      <c r="D5" s="6" t="s">
        <v>59</v>
      </c>
      <c r="E5" s="21">
        <v>50</v>
      </c>
      <c r="F5" s="8">
        <v>4.3600000000000003</v>
      </c>
      <c r="G5" s="8">
        <v>161.9</v>
      </c>
      <c r="H5" s="7">
        <v>3.2</v>
      </c>
      <c r="I5" s="7">
        <v>3.2</v>
      </c>
      <c r="J5" s="11">
        <v>29.99</v>
      </c>
    </row>
    <row r="6" spans="1:12" x14ac:dyDescent="0.25">
      <c r="A6" s="71"/>
      <c r="B6" s="9" t="s">
        <v>14</v>
      </c>
      <c r="C6" s="6" t="s">
        <v>32</v>
      </c>
      <c r="D6" s="6" t="s">
        <v>33</v>
      </c>
      <c r="E6" s="21">
        <v>24.5</v>
      </c>
      <c r="F6" s="8">
        <v>1</v>
      </c>
      <c r="G6" s="8">
        <f>229.7*0.245</f>
        <v>56.276499999999999</v>
      </c>
      <c r="H6" s="7">
        <f>6.7*0.245</f>
        <v>1.6415</v>
      </c>
      <c r="I6" s="7">
        <f>1.1*0.245</f>
        <v>0.26950000000000002</v>
      </c>
      <c r="J6" s="11">
        <f>48.3*0.245</f>
        <v>11.833499999999999</v>
      </c>
    </row>
    <row r="7" spans="1:12" s="52" customFormat="1" ht="15.75" thickBot="1" x14ac:dyDescent="0.3">
      <c r="A7" s="72"/>
      <c r="B7" s="12" t="s">
        <v>42</v>
      </c>
      <c r="C7" s="13" t="s">
        <v>43</v>
      </c>
      <c r="D7" s="13" t="s">
        <v>60</v>
      </c>
      <c r="E7" s="22">
        <v>115</v>
      </c>
      <c r="F7" s="23">
        <v>14.49</v>
      </c>
      <c r="G7" s="33">
        <f>38*1.15</f>
        <v>43.699999999999996</v>
      </c>
      <c r="H7" s="33">
        <f>0.8*1.15</f>
        <v>0.91999999999999993</v>
      </c>
      <c r="I7" s="33">
        <f>0.2*1.15</f>
        <v>0.22999999999999998</v>
      </c>
      <c r="J7" s="34">
        <f>7.5*1.15</f>
        <v>8.625</v>
      </c>
      <c r="K7"/>
    </row>
    <row r="8" spans="1:12" ht="16.5" thickBot="1" x14ac:dyDescent="0.3">
      <c r="A8" s="61" t="s">
        <v>15</v>
      </c>
      <c r="B8" s="62"/>
      <c r="C8" s="62"/>
      <c r="D8" s="62"/>
      <c r="E8" s="63"/>
      <c r="F8" s="24">
        <f>SUM(F3:F7)</f>
        <v>69.5</v>
      </c>
      <c r="G8" s="24">
        <f>SUM(G3:G7)</f>
        <v>653.57650000000012</v>
      </c>
      <c r="H8" s="24">
        <f>SUM(H3:H7)</f>
        <v>20.461500000000001</v>
      </c>
      <c r="I8" s="24">
        <f>SUM(I3:I7)</f>
        <v>17.799500000000002</v>
      </c>
      <c r="J8" s="24">
        <f>SUM(J3:J7)</f>
        <v>101.9485</v>
      </c>
    </row>
    <row r="9" spans="1:12" x14ac:dyDescent="0.25">
      <c r="A9" s="64" t="s">
        <v>28</v>
      </c>
      <c r="B9" s="25" t="s">
        <v>16</v>
      </c>
      <c r="C9" s="26" t="s">
        <v>46</v>
      </c>
      <c r="D9" s="26" t="s">
        <v>47</v>
      </c>
      <c r="E9" s="18" t="s">
        <v>48</v>
      </c>
      <c r="F9" s="19">
        <v>11.85</v>
      </c>
      <c r="G9" s="19">
        <f>429*0.25+162*0.1</f>
        <v>123.45</v>
      </c>
      <c r="H9" s="19">
        <f>8.07*0.25+2.6*0.1</f>
        <v>2.2774999999999999</v>
      </c>
      <c r="I9" s="19">
        <f>20.36*0.25+15*0.1</f>
        <v>6.59</v>
      </c>
      <c r="J9" s="20">
        <f>47.92*0.25+3.6*0.1</f>
        <v>12.34</v>
      </c>
      <c r="K9"/>
    </row>
    <row r="10" spans="1:12" x14ac:dyDescent="0.25">
      <c r="A10" s="65"/>
      <c r="B10" s="9" t="s">
        <v>13</v>
      </c>
      <c r="C10" s="6" t="s">
        <v>49</v>
      </c>
      <c r="D10" s="6" t="s">
        <v>50</v>
      </c>
      <c r="E10" s="21">
        <v>55</v>
      </c>
      <c r="F10" s="8">
        <v>20.86</v>
      </c>
      <c r="G10" s="30">
        <f>182/50*55</f>
        <v>200.20000000000002</v>
      </c>
      <c r="H10" s="30">
        <f>6.74/50*55</f>
        <v>7.4140000000000006</v>
      </c>
      <c r="I10" s="30">
        <f>13.91/50*55</f>
        <v>15.301</v>
      </c>
      <c r="J10" s="31">
        <f>7.09/50*55</f>
        <v>7.7990000000000004</v>
      </c>
      <c r="K10"/>
    </row>
    <row r="11" spans="1:12" s="43" customFormat="1" x14ac:dyDescent="0.25">
      <c r="A11" s="65"/>
      <c r="B11" s="9" t="s">
        <v>17</v>
      </c>
      <c r="C11" s="6" t="s">
        <v>51</v>
      </c>
      <c r="D11" s="6" t="s">
        <v>52</v>
      </c>
      <c r="E11" s="21">
        <v>120</v>
      </c>
      <c r="F11" s="8">
        <v>8.16</v>
      </c>
      <c r="G11" s="30">
        <f>1123*0.12</f>
        <v>134.76</v>
      </c>
      <c r="H11" s="30">
        <f>36.78*0.12</f>
        <v>4.4135999999999997</v>
      </c>
      <c r="I11" s="30">
        <f>30.1*0.12</f>
        <v>3.6120000000000001</v>
      </c>
      <c r="J11" s="31">
        <f>176.3*0.12</f>
        <v>21.155999999999999</v>
      </c>
      <c r="K11"/>
    </row>
    <row r="12" spans="1:12" s="43" customFormat="1" x14ac:dyDescent="0.25">
      <c r="A12" s="65"/>
      <c r="B12" s="9" t="s">
        <v>18</v>
      </c>
      <c r="C12" s="6" t="s">
        <v>19</v>
      </c>
      <c r="D12" s="6" t="s">
        <v>20</v>
      </c>
      <c r="E12" s="21" t="s">
        <v>34</v>
      </c>
      <c r="F12" s="8">
        <v>2.63</v>
      </c>
      <c r="G12" s="8">
        <v>60</v>
      </c>
      <c r="H12" s="8">
        <v>7.0000000000000007E-2</v>
      </c>
      <c r="I12" s="8">
        <v>0.02</v>
      </c>
      <c r="J12" s="10">
        <v>15</v>
      </c>
    </row>
    <row r="13" spans="1:12" ht="15.75" thickBot="1" x14ac:dyDescent="0.3">
      <c r="A13" s="65"/>
      <c r="B13" s="12" t="s">
        <v>14</v>
      </c>
      <c r="C13" s="13" t="s">
        <v>32</v>
      </c>
      <c r="D13" s="13" t="s">
        <v>33</v>
      </c>
      <c r="E13" s="22">
        <v>36.5</v>
      </c>
      <c r="F13" s="23">
        <v>1.5</v>
      </c>
      <c r="G13" s="23">
        <f>229.7*0.365</f>
        <v>83.840499999999992</v>
      </c>
      <c r="H13" s="14">
        <f>6.7*0.365</f>
        <v>2.4455</v>
      </c>
      <c r="I13" s="14">
        <f>1.1*0.365</f>
        <v>0.40150000000000002</v>
      </c>
      <c r="J13" s="15">
        <f>48.3*0.365</f>
        <v>17.6295</v>
      </c>
    </row>
    <row r="14" spans="1:12" ht="16.5" thickBot="1" x14ac:dyDescent="0.3">
      <c r="A14" s="66" t="s">
        <v>15</v>
      </c>
      <c r="B14" s="67"/>
      <c r="C14" s="67"/>
      <c r="D14" s="67"/>
      <c r="E14" s="68"/>
      <c r="F14" s="42">
        <f>SUM(F9:F13)</f>
        <v>45.000000000000007</v>
      </c>
      <c r="G14" s="42">
        <f t="shared" ref="G14:J14" si="0">SUM(G9:G13)</f>
        <v>602.2505000000001</v>
      </c>
      <c r="H14" s="42">
        <f t="shared" si="0"/>
        <v>16.6206</v>
      </c>
      <c r="I14" s="42">
        <f t="shared" si="0"/>
        <v>25.924499999999998</v>
      </c>
      <c r="J14" s="42">
        <f t="shared" si="0"/>
        <v>73.924499999999995</v>
      </c>
    </row>
    <row r="15" spans="1:12" s="45" customFormat="1" ht="15" customHeight="1" x14ac:dyDescent="0.25">
      <c r="A15" s="87" t="s">
        <v>29</v>
      </c>
      <c r="B15" s="16" t="s">
        <v>31</v>
      </c>
      <c r="C15" s="17" t="s">
        <v>61</v>
      </c>
      <c r="D15" s="17" t="s">
        <v>63</v>
      </c>
      <c r="E15" s="18" t="s">
        <v>62</v>
      </c>
      <c r="F15" s="18">
        <v>4.0199999999999996</v>
      </c>
      <c r="G15" s="19">
        <f>928*0.05</f>
        <v>46.400000000000006</v>
      </c>
      <c r="H15" s="19">
        <f>14.08*0.05</f>
        <v>0.70400000000000007</v>
      </c>
      <c r="I15" s="19">
        <f>60.12*0.05</f>
        <v>3.0060000000000002</v>
      </c>
      <c r="J15" s="20">
        <f>82.6*0.05</f>
        <v>4.13</v>
      </c>
    </row>
    <row r="16" spans="1:12" s="40" customFormat="1" ht="15" customHeight="1" x14ac:dyDescent="0.25">
      <c r="A16" s="88"/>
      <c r="B16" s="9" t="s">
        <v>16</v>
      </c>
      <c r="C16" s="6" t="s">
        <v>46</v>
      </c>
      <c r="D16" s="6" t="s">
        <v>47</v>
      </c>
      <c r="E16" s="21" t="s">
        <v>48</v>
      </c>
      <c r="F16" s="8">
        <v>11.85</v>
      </c>
      <c r="G16" s="8">
        <f>429*0.25+162*0.1</f>
        <v>123.45</v>
      </c>
      <c r="H16" s="8">
        <f>8.07*0.25+2.6*0.1</f>
        <v>2.2774999999999999</v>
      </c>
      <c r="I16" s="8">
        <f>20.36*0.25+15*0.1</f>
        <v>6.59</v>
      </c>
      <c r="J16" s="10">
        <f>47.92*0.25+3.6*0.1</f>
        <v>12.34</v>
      </c>
      <c r="K16"/>
    </row>
    <row r="17" spans="1:11" s="40" customFormat="1" x14ac:dyDescent="0.25">
      <c r="A17" s="88"/>
      <c r="B17" s="9" t="s">
        <v>13</v>
      </c>
      <c r="C17" s="6" t="s">
        <v>49</v>
      </c>
      <c r="D17" s="6" t="s">
        <v>50</v>
      </c>
      <c r="E17" s="21">
        <v>75</v>
      </c>
      <c r="F17" s="8">
        <v>28.44</v>
      </c>
      <c r="G17" s="30">
        <f>182/50*75</f>
        <v>273</v>
      </c>
      <c r="H17" s="30">
        <f>6.74/50*75</f>
        <v>10.11</v>
      </c>
      <c r="I17" s="30">
        <f>13.91/50*75</f>
        <v>20.865000000000002</v>
      </c>
      <c r="J17" s="31">
        <f>7.09/50*75</f>
        <v>10.635000000000002</v>
      </c>
      <c r="K17"/>
    </row>
    <row r="18" spans="1:11" x14ac:dyDescent="0.25">
      <c r="A18" s="88"/>
      <c r="B18" s="9" t="s">
        <v>17</v>
      </c>
      <c r="C18" s="6" t="s">
        <v>51</v>
      </c>
      <c r="D18" s="6" t="s">
        <v>52</v>
      </c>
      <c r="E18" s="21">
        <v>120</v>
      </c>
      <c r="F18" s="8">
        <v>8.16</v>
      </c>
      <c r="G18" s="30">
        <f>1123*0.12</f>
        <v>134.76</v>
      </c>
      <c r="H18" s="30">
        <f>36.78*0.12</f>
        <v>4.4135999999999997</v>
      </c>
      <c r="I18" s="30">
        <f>30.1*0.12</f>
        <v>3.6120000000000001</v>
      </c>
      <c r="J18" s="31">
        <f>176.3*0.12</f>
        <v>21.155999999999999</v>
      </c>
      <c r="K18"/>
    </row>
    <row r="19" spans="1:11" s="52" customFormat="1" x14ac:dyDescent="0.25">
      <c r="A19" s="88"/>
      <c r="B19" s="9" t="s">
        <v>18</v>
      </c>
      <c r="C19" s="6" t="s">
        <v>19</v>
      </c>
      <c r="D19" s="6" t="s">
        <v>20</v>
      </c>
      <c r="E19" s="21" t="s">
        <v>34</v>
      </c>
      <c r="F19" s="8">
        <v>2.63</v>
      </c>
      <c r="G19" s="8">
        <v>60</v>
      </c>
      <c r="H19" s="8">
        <v>7.0000000000000007E-2</v>
      </c>
      <c r="I19" s="8">
        <v>0.02</v>
      </c>
      <c r="J19" s="10">
        <v>15</v>
      </c>
    </row>
    <row r="20" spans="1:11" s="52" customFormat="1" x14ac:dyDescent="0.25">
      <c r="A20" s="88"/>
      <c r="B20" s="9" t="s">
        <v>14</v>
      </c>
      <c r="C20" s="6" t="s">
        <v>32</v>
      </c>
      <c r="D20" s="6" t="s">
        <v>33</v>
      </c>
      <c r="E20" s="21">
        <v>13</v>
      </c>
      <c r="F20" s="8">
        <v>0.54</v>
      </c>
      <c r="G20" s="8">
        <f>229.7*0.13</f>
        <v>29.861000000000001</v>
      </c>
      <c r="H20" s="7">
        <f>6.7*0.13</f>
        <v>0.87100000000000011</v>
      </c>
      <c r="I20" s="7">
        <f>1.1*0.13</f>
        <v>0.14300000000000002</v>
      </c>
      <c r="J20" s="11">
        <f>48.3*0.13</f>
        <v>6.2789999999999999</v>
      </c>
    </row>
    <row r="21" spans="1:11" s="52" customFormat="1" ht="15.75" thickBot="1" x14ac:dyDescent="0.3">
      <c r="A21" s="89"/>
      <c r="B21" s="12" t="s">
        <v>42</v>
      </c>
      <c r="C21" s="13" t="s">
        <v>43</v>
      </c>
      <c r="D21" s="13" t="s">
        <v>60</v>
      </c>
      <c r="E21" s="22">
        <v>110</v>
      </c>
      <c r="F21" s="23">
        <v>13.86</v>
      </c>
      <c r="G21" s="33">
        <f>38*1.1</f>
        <v>41.800000000000004</v>
      </c>
      <c r="H21" s="33">
        <f>0.8*1.1</f>
        <v>0.88000000000000012</v>
      </c>
      <c r="I21" s="33">
        <f>0.2*1.1</f>
        <v>0.22000000000000003</v>
      </c>
      <c r="J21" s="34">
        <f>7.5*1.1</f>
        <v>8.25</v>
      </c>
      <c r="K21"/>
    </row>
    <row r="22" spans="1:11" s="45" customFormat="1" ht="16.5" thickBot="1" x14ac:dyDescent="0.3">
      <c r="A22" s="69" t="s">
        <v>15</v>
      </c>
      <c r="B22" s="62"/>
      <c r="C22" s="62"/>
      <c r="D22" s="62"/>
      <c r="E22" s="63"/>
      <c r="F22" s="24">
        <f>SUM(F15:F21)</f>
        <v>69.5</v>
      </c>
      <c r="G22" s="24">
        <f t="shared" ref="G22:J22" si="1">SUM(G15:G21)</f>
        <v>709.27099999999996</v>
      </c>
      <c r="H22" s="24">
        <f t="shared" si="1"/>
        <v>19.326099999999997</v>
      </c>
      <c r="I22" s="24">
        <f t="shared" si="1"/>
        <v>34.456000000000003</v>
      </c>
      <c r="J22" s="24">
        <f t="shared" si="1"/>
        <v>77.789999999999992</v>
      </c>
      <c r="K22"/>
    </row>
    <row r="23" spans="1:11" s="52" customFormat="1" x14ac:dyDescent="0.25">
      <c r="A23" s="64" t="s">
        <v>30</v>
      </c>
      <c r="B23" s="25" t="s">
        <v>38</v>
      </c>
      <c r="C23" s="26" t="s">
        <v>64</v>
      </c>
      <c r="D23" s="26" t="s">
        <v>65</v>
      </c>
      <c r="E23" s="18">
        <v>200</v>
      </c>
      <c r="F23" s="19">
        <v>14.43</v>
      </c>
      <c r="G23" s="19">
        <f>424*0.2</f>
        <v>84.800000000000011</v>
      </c>
      <c r="H23" s="46">
        <f>5*0.2</f>
        <v>1</v>
      </c>
      <c r="I23" s="46">
        <f>0</f>
        <v>0</v>
      </c>
      <c r="J23" s="47">
        <f>101*0.2</f>
        <v>20.200000000000003</v>
      </c>
      <c r="K23"/>
    </row>
    <row r="24" spans="1:11" s="45" customFormat="1" ht="30" x14ac:dyDescent="0.25">
      <c r="A24" s="65"/>
      <c r="B24" s="9" t="s">
        <v>18</v>
      </c>
      <c r="C24" s="6" t="s">
        <v>66</v>
      </c>
      <c r="D24" s="6" t="s">
        <v>67</v>
      </c>
      <c r="E24" s="44" t="s">
        <v>68</v>
      </c>
      <c r="F24" s="7">
        <v>18.22</v>
      </c>
      <c r="G24" s="32">
        <f>202</f>
        <v>202</v>
      </c>
      <c r="H24" s="32">
        <f>9.22</f>
        <v>9.2200000000000006</v>
      </c>
      <c r="I24" s="32">
        <f>5.48</f>
        <v>5.48</v>
      </c>
      <c r="J24" s="39">
        <f>29.18</f>
        <v>29.18</v>
      </c>
    </row>
    <row r="25" spans="1:11" ht="15.75" thickBot="1" x14ac:dyDescent="0.3">
      <c r="A25" s="65"/>
      <c r="B25" s="12" t="s">
        <v>42</v>
      </c>
      <c r="C25" s="13" t="s">
        <v>43</v>
      </c>
      <c r="D25" s="13" t="s">
        <v>54</v>
      </c>
      <c r="E25" s="22">
        <v>110</v>
      </c>
      <c r="F25" s="23">
        <v>12.35</v>
      </c>
      <c r="G25" s="33">
        <f>47*1.95</f>
        <v>91.649999999999991</v>
      </c>
      <c r="H25" s="33">
        <f>0.4*1.95</f>
        <v>0.78</v>
      </c>
      <c r="I25" s="33">
        <f>0.4*1.95</f>
        <v>0.78</v>
      </c>
      <c r="J25" s="34">
        <f>9.8*1.95</f>
        <v>19.11</v>
      </c>
      <c r="K25"/>
    </row>
    <row r="26" spans="1:11" ht="16.5" thickBot="1" x14ac:dyDescent="0.3">
      <c r="A26" s="61" t="s">
        <v>15</v>
      </c>
      <c r="B26" s="73"/>
      <c r="C26" s="73"/>
      <c r="D26" s="73"/>
      <c r="E26" s="74"/>
      <c r="F26" s="3">
        <f>SUM(F23:F25)</f>
        <v>45</v>
      </c>
      <c r="G26" s="3">
        <f t="shared" ref="G26:J26" si="2">SUM(G23:G25)</f>
        <v>378.45</v>
      </c>
      <c r="H26" s="3">
        <f t="shared" si="2"/>
        <v>11</v>
      </c>
      <c r="I26" s="3">
        <f t="shared" si="2"/>
        <v>6.2600000000000007</v>
      </c>
      <c r="J26" s="3">
        <f t="shared" si="2"/>
        <v>68.490000000000009</v>
      </c>
      <c r="K26"/>
    </row>
    <row r="28" spans="1:11" ht="15.75" thickBot="1" x14ac:dyDescent="0.3">
      <c r="A28" s="59" t="s">
        <v>25</v>
      </c>
      <c r="B28" s="59"/>
      <c r="C28" s="59"/>
      <c r="D28" s="59"/>
      <c r="E28" s="59"/>
      <c r="F28" s="59"/>
      <c r="G28" s="59"/>
      <c r="H28" s="59"/>
      <c r="I28" s="59"/>
      <c r="J28" s="59"/>
    </row>
    <row r="29" spans="1:11" ht="15.75" x14ac:dyDescent="0.25">
      <c r="A29" s="29"/>
      <c r="B29" s="29"/>
      <c r="C29" s="58" t="s">
        <v>23</v>
      </c>
      <c r="D29" s="58"/>
      <c r="G29" s="60"/>
      <c r="H29" s="60"/>
      <c r="I29" s="60"/>
      <c r="J29" s="60"/>
    </row>
    <row r="30" spans="1:11" x14ac:dyDescent="0.25">
      <c r="A30" s="1"/>
      <c r="B30" s="1"/>
      <c r="C30" s="1"/>
      <c r="D30" s="1"/>
    </row>
    <row r="31" spans="1:11" x14ac:dyDescent="0.25">
      <c r="A31" s="70" t="s">
        <v>24</v>
      </c>
      <c r="B31" s="70"/>
    </row>
    <row r="32" spans="1:11" x14ac:dyDescent="0.25">
      <c r="A32" s="70" t="s">
        <v>26</v>
      </c>
      <c r="B32" s="70"/>
    </row>
    <row r="33" spans="1:1" x14ac:dyDescent="0.25">
      <c r="A33" s="4"/>
    </row>
  </sheetData>
  <mergeCells count="15">
    <mergeCell ref="A31:B31"/>
    <mergeCell ref="A32:B32"/>
    <mergeCell ref="A3:A7"/>
    <mergeCell ref="A23:A25"/>
    <mergeCell ref="A26:E26"/>
    <mergeCell ref="A15:A21"/>
    <mergeCell ref="B1:C1"/>
    <mergeCell ref="G1:J1"/>
    <mergeCell ref="C29:D29"/>
    <mergeCell ref="A28:J28"/>
    <mergeCell ref="G29:J29"/>
    <mergeCell ref="A8:E8"/>
    <mergeCell ref="A9:A13"/>
    <mergeCell ref="A14:E14"/>
    <mergeCell ref="A22:E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7" workbookViewId="0">
      <selection activeCell="J13" sqref="J13"/>
    </sheetView>
  </sheetViews>
  <sheetFormatPr defaultRowHeight="15" x14ac:dyDescent="0.25"/>
  <cols>
    <col min="1" max="1" width="27.85546875" style="2" customWidth="1"/>
    <col min="2" max="2" width="24.7109375" style="2" customWidth="1"/>
    <col min="3" max="3" width="12.28515625" style="2" customWidth="1"/>
    <col min="4" max="4" width="47.8554687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75" t="s">
        <v>22</v>
      </c>
      <c r="C1" s="76"/>
      <c r="D1" s="1" t="s">
        <v>1</v>
      </c>
      <c r="E1" s="35"/>
      <c r="F1" s="1" t="s">
        <v>2</v>
      </c>
      <c r="G1" s="55">
        <v>44519</v>
      </c>
      <c r="H1" s="56"/>
      <c r="I1" s="56"/>
      <c r="J1" s="57"/>
      <c r="K1" s="1"/>
      <c r="L1" s="1"/>
    </row>
    <row r="2" spans="1:12" ht="15.75" thickBot="1" x14ac:dyDescent="0.3">
      <c r="A2" s="49" t="s">
        <v>3</v>
      </c>
      <c r="B2" s="36" t="s">
        <v>4</v>
      </c>
      <c r="C2" s="37" t="s">
        <v>5</v>
      </c>
      <c r="D2" s="37" t="s">
        <v>6</v>
      </c>
      <c r="E2" s="37" t="s">
        <v>7</v>
      </c>
      <c r="F2" s="37" t="s">
        <v>8</v>
      </c>
      <c r="G2" s="37" t="s">
        <v>9</v>
      </c>
      <c r="H2" s="37" t="s">
        <v>10</v>
      </c>
      <c r="I2" s="37" t="s">
        <v>11</v>
      </c>
      <c r="J2" s="38" t="s">
        <v>12</v>
      </c>
    </row>
    <row r="3" spans="1:12" x14ac:dyDescent="0.25">
      <c r="A3" s="71" t="s">
        <v>35</v>
      </c>
      <c r="B3" s="25" t="s">
        <v>13</v>
      </c>
      <c r="C3" s="26" t="s">
        <v>40</v>
      </c>
      <c r="D3" s="26" t="s">
        <v>41</v>
      </c>
      <c r="E3" s="18" t="s">
        <v>39</v>
      </c>
      <c r="F3" s="19">
        <v>40.909999999999997</v>
      </c>
      <c r="G3" s="46">
        <f>280.7</f>
        <v>280.7</v>
      </c>
      <c r="H3" s="46">
        <f>14</f>
        <v>14</v>
      </c>
      <c r="I3" s="46">
        <f>14.1</f>
        <v>14.1</v>
      </c>
      <c r="J3" s="47">
        <f>24.5</f>
        <v>24.5</v>
      </c>
    </row>
    <row r="4" spans="1:12" s="41" customFormat="1" x14ac:dyDescent="0.25">
      <c r="A4" s="71"/>
      <c r="B4" s="9" t="s">
        <v>38</v>
      </c>
      <c r="C4" s="6" t="s">
        <v>56</v>
      </c>
      <c r="D4" s="6" t="s">
        <v>57</v>
      </c>
      <c r="E4" s="21">
        <v>200</v>
      </c>
      <c r="F4" s="8">
        <v>8.74</v>
      </c>
      <c r="G4" s="8">
        <v>111</v>
      </c>
      <c r="H4" s="30">
        <v>0.7</v>
      </c>
      <c r="I4" s="30">
        <v>0</v>
      </c>
      <c r="J4" s="31">
        <v>27</v>
      </c>
    </row>
    <row r="5" spans="1:12" x14ac:dyDescent="0.25">
      <c r="A5" s="71"/>
      <c r="B5" s="9" t="s">
        <v>21</v>
      </c>
      <c r="C5" s="6" t="s">
        <v>58</v>
      </c>
      <c r="D5" s="6" t="s">
        <v>59</v>
      </c>
      <c r="E5" s="21">
        <v>50</v>
      </c>
      <c r="F5" s="8">
        <v>4.3600000000000003</v>
      </c>
      <c r="G5" s="8">
        <v>161.9</v>
      </c>
      <c r="H5" s="7">
        <v>3.2</v>
      </c>
      <c r="I5" s="7">
        <v>3.2</v>
      </c>
      <c r="J5" s="11">
        <v>29.99</v>
      </c>
    </row>
    <row r="6" spans="1:12" x14ac:dyDescent="0.25">
      <c r="A6" s="71"/>
      <c r="B6" s="9" t="s">
        <v>14</v>
      </c>
      <c r="C6" s="6" t="s">
        <v>32</v>
      </c>
      <c r="D6" s="6" t="s">
        <v>33</v>
      </c>
      <c r="E6" s="21">
        <v>24.5</v>
      </c>
      <c r="F6" s="8">
        <v>1</v>
      </c>
      <c r="G6" s="8">
        <f>229.7*0.245</f>
        <v>56.276499999999999</v>
      </c>
      <c r="H6" s="7">
        <f>6.7*0.245</f>
        <v>1.6415</v>
      </c>
      <c r="I6" s="7">
        <f>1.1*0.245</f>
        <v>0.26950000000000002</v>
      </c>
      <c r="J6" s="11">
        <f>48.3*0.245</f>
        <v>11.833499999999999</v>
      </c>
    </row>
    <row r="7" spans="1:12" ht="15.75" thickBot="1" x14ac:dyDescent="0.3">
      <c r="A7" s="71"/>
      <c r="B7" s="12" t="s">
        <v>42</v>
      </c>
      <c r="C7" s="13" t="s">
        <v>43</v>
      </c>
      <c r="D7" s="13" t="s">
        <v>60</v>
      </c>
      <c r="E7" s="22">
        <v>115</v>
      </c>
      <c r="F7" s="23">
        <v>14.49</v>
      </c>
      <c r="G7" s="33">
        <f>38*1.15</f>
        <v>43.699999999999996</v>
      </c>
      <c r="H7" s="33">
        <f>0.8*1.15</f>
        <v>0.91999999999999993</v>
      </c>
      <c r="I7" s="33">
        <f>0.2*1.15</f>
        <v>0.22999999999999998</v>
      </c>
      <c r="J7" s="34">
        <f>7.5*1.15</f>
        <v>8.625</v>
      </c>
    </row>
    <row r="8" spans="1:12" ht="16.5" thickBot="1" x14ac:dyDescent="0.3">
      <c r="A8" s="77" t="s">
        <v>15</v>
      </c>
      <c r="B8" s="62"/>
      <c r="C8" s="62"/>
      <c r="D8" s="62"/>
      <c r="E8" s="63"/>
      <c r="F8" s="24">
        <f>SUM(F3:F7)</f>
        <v>69.5</v>
      </c>
      <c r="G8" s="24">
        <f>SUM(G3:G7)</f>
        <v>653.57650000000012</v>
      </c>
      <c r="H8" s="24">
        <f>SUM(H3:H7)</f>
        <v>20.461500000000001</v>
      </c>
      <c r="I8" s="24">
        <f>SUM(I3:I7)</f>
        <v>17.799500000000002</v>
      </c>
      <c r="J8" s="24">
        <f>SUM(J3:J7)</f>
        <v>101.9485</v>
      </c>
    </row>
    <row r="9" spans="1:12" s="41" customFormat="1" x14ac:dyDescent="0.25">
      <c r="A9" s="78" t="s">
        <v>36</v>
      </c>
      <c r="B9" s="25" t="s">
        <v>13</v>
      </c>
      <c r="C9" s="26" t="s">
        <v>40</v>
      </c>
      <c r="D9" s="26" t="s">
        <v>41</v>
      </c>
      <c r="E9" s="18" t="s">
        <v>55</v>
      </c>
      <c r="F9" s="19">
        <v>23.52</v>
      </c>
      <c r="G9" s="46">
        <f>280.7/40*23</f>
        <v>161.4025</v>
      </c>
      <c r="H9" s="46">
        <f>14/40*23</f>
        <v>8.0499999999999989</v>
      </c>
      <c r="I9" s="46">
        <f>14.1/40*23</f>
        <v>8.1074999999999999</v>
      </c>
      <c r="J9" s="47">
        <f>24.5/40*23</f>
        <v>14.0875</v>
      </c>
      <c r="K9"/>
    </row>
    <row r="10" spans="1:12" s="41" customFormat="1" x14ac:dyDescent="0.25">
      <c r="A10" s="79"/>
      <c r="B10" s="9" t="s">
        <v>18</v>
      </c>
      <c r="C10" s="6" t="s">
        <v>19</v>
      </c>
      <c r="D10" s="6" t="s">
        <v>20</v>
      </c>
      <c r="E10" s="21" t="s">
        <v>34</v>
      </c>
      <c r="F10" s="8">
        <v>2.63</v>
      </c>
      <c r="G10" s="8">
        <v>60</v>
      </c>
      <c r="H10" s="8">
        <v>7.0000000000000007E-2</v>
      </c>
      <c r="I10" s="8">
        <v>0.02</v>
      </c>
      <c r="J10" s="10">
        <v>15</v>
      </c>
    </row>
    <row r="11" spans="1:12" s="45" customFormat="1" ht="15.75" thickBot="1" x14ac:dyDescent="0.3">
      <c r="A11" s="80"/>
      <c r="B11" s="12" t="s">
        <v>14</v>
      </c>
      <c r="C11" s="13" t="s">
        <v>32</v>
      </c>
      <c r="D11" s="13" t="s">
        <v>33</v>
      </c>
      <c r="E11" s="22">
        <v>21</v>
      </c>
      <c r="F11" s="23">
        <v>0.85</v>
      </c>
      <c r="G11" s="23">
        <f>229.7*0.21</f>
        <v>48.236999999999995</v>
      </c>
      <c r="H11" s="14">
        <f>6.7*0.21</f>
        <v>1.407</v>
      </c>
      <c r="I11" s="14">
        <f>1.1*0.21</f>
        <v>0.23100000000000001</v>
      </c>
      <c r="J11" s="15">
        <f>48.3*0.21</f>
        <v>10.142999999999999</v>
      </c>
    </row>
    <row r="12" spans="1:12" ht="16.5" thickBot="1" x14ac:dyDescent="0.3">
      <c r="A12" s="69" t="s">
        <v>15</v>
      </c>
      <c r="B12" s="62"/>
      <c r="C12" s="62"/>
      <c r="D12" s="62"/>
      <c r="E12" s="63"/>
      <c r="F12" s="24">
        <f>SUM(F9:F11)</f>
        <v>27</v>
      </c>
      <c r="G12" s="24">
        <f>SUM(G9:G11)</f>
        <v>269.6395</v>
      </c>
      <c r="H12" s="24">
        <f>SUM(H9:H11)</f>
        <v>9.5269999999999992</v>
      </c>
      <c r="I12" s="24">
        <f>SUM(I9:I11)</f>
        <v>8.3584999999999994</v>
      </c>
      <c r="J12" s="24">
        <f>SUM(J9:J11)</f>
        <v>39.230499999999999</v>
      </c>
    </row>
    <row r="13" spans="1:12" s="43" customFormat="1" x14ac:dyDescent="0.25">
      <c r="A13" s="78" t="s">
        <v>37</v>
      </c>
      <c r="B13" s="16" t="s">
        <v>31</v>
      </c>
      <c r="C13" s="17" t="s">
        <v>69</v>
      </c>
      <c r="D13" s="17" t="s">
        <v>53</v>
      </c>
      <c r="E13" s="28" t="s">
        <v>70</v>
      </c>
      <c r="F13" s="18">
        <v>4.37</v>
      </c>
      <c r="G13" s="19">
        <f>250*0.15+280*0.19</f>
        <v>90.7</v>
      </c>
      <c r="H13" s="19">
        <f>0.4*0.15+8*0.19</f>
        <v>1.58</v>
      </c>
      <c r="I13" s="19">
        <f>0+3*0.19</f>
        <v>0.57000000000000006</v>
      </c>
      <c r="J13" s="20">
        <f>65*0.15+54*0.19</f>
        <v>20.009999999999998</v>
      </c>
    </row>
    <row r="14" spans="1:12" s="43" customFormat="1" ht="15.75" thickBot="1" x14ac:dyDescent="0.3">
      <c r="A14" s="80"/>
      <c r="B14" s="12" t="s">
        <v>18</v>
      </c>
      <c r="C14" s="13" t="s">
        <v>19</v>
      </c>
      <c r="D14" s="13" t="s">
        <v>20</v>
      </c>
      <c r="E14" s="22" t="s">
        <v>34</v>
      </c>
      <c r="F14" s="23">
        <v>2.63</v>
      </c>
      <c r="G14" s="23">
        <v>60</v>
      </c>
      <c r="H14" s="23">
        <v>7.0000000000000007E-2</v>
      </c>
      <c r="I14" s="23">
        <v>0.02</v>
      </c>
      <c r="J14" s="48">
        <v>15</v>
      </c>
    </row>
    <row r="15" spans="1:12" ht="16.5" thickBot="1" x14ac:dyDescent="0.3">
      <c r="A15" s="81" t="s">
        <v>15</v>
      </c>
      <c r="B15" s="62"/>
      <c r="C15" s="62"/>
      <c r="D15" s="62"/>
      <c r="E15" s="63"/>
      <c r="F15" s="24">
        <f>SUM(F13:F14)</f>
        <v>7</v>
      </c>
      <c r="G15" s="24">
        <f t="shared" ref="G15:J15" si="0">SUM(G13:G14)</f>
        <v>150.69999999999999</v>
      </c>
      <c r="H15" s="24">
        <f t="shared" si="0"/>
        <v>1.6500000000000001</v>
      </c>
      <c r="I15" s="24">
        <f t="shared" si="0"/>
        <v>0.59000000000000008</v>
      </c>
      <c r="J15" s="24">
        <f t="shared" si="0"/>
        <v>35.01</v>
      </c>
    </row>
    <row r="16" spans="1:12" x14ac:dyDescent="0.25">
      <c r="A16" s="64" t="s">
        <v>44</v>
      </c>
      <c r="B16" s="25" t="s">
        <v>16</v>
      </c>
      <c r="C16" s="26" t="s">
        <v>46</v>
      </c>
      <c r="D16" s="26" t="s">
        <v>47</v>
      </c>
      <c r="E16" s="18" t="s">
        <v>48</v>
      </c>
      <c r="F16" s="19">
        <v>11.85</v>
      </c>
      <c r="G16" s="19">
        <f>429*0.25+162*0.1</f>
        <v>123.45</v>
      </c>
      <c r="H16" s="19">
        <f>8.07*0.25+2.6*0.1</f>
        <v>2.2774999999999999</v>
      </c>
      <c r="I16" s="19">
        <f>20.36*0.25+15*0.1</f>
        <v>6.59</v>
      </c>
      <c r="J16" s="20">
        <f>47.92*0.25+3.6*0.1</f>
        <v>12.34</v>
      </c>
    </row>
    <row r="17" spans="1:10" x14ac:dyDescent="0.25">
      <c r="A17" s="65"/>
      <c r="B17" s="9" t="s">
        <v>13</v>
      </c>
      <c r="C17" s="6" t="s">
        <v>49</v>
      </c>
      <c r="D17" s="6" t="s">
        <v>50</v>
      </c>
      <c r="E17" s="21">
        <v>55</v>
      </c>
      <c r="F17" s="8">
        <v>20.86</v>
      </c>
      <c r="G17" s="30">
        <f>182/50*55</f>
        <v>200.20000000000002</v>
      </c>
      <c r="H17" s="30">
        <f>6.74/50*55</f>
        <v>7.4140000000000006</v>
      </c>
      <c r="I17" s="30">
        <f>13.91/50*55</f>
        <v>15.301</v>
      </c>
      <c r="J17" s="31">
        <f>7.09/50*55</f>
        <v>7.7990000000000004</v>
      </c>
    </row>
    <row r="18" spans="1:10" s="43" customFormat="1" x14ac:dyDescent="0.25">
      <c r="A18" s="65"/>
      <c r="B18" s="9" t="s">
        <v>17</v>
      </c>
      <c r="C18" s="6" t="s">
        <v>51</v>
      </c>
      <c r="D18" s="6" t="s">
        <v>52</v>
      </c>
      <c r="E18" s="21">
        <v>120</v>
      </c>
      <c r="F18" s="8">
        <v>8.16</v>
      </c>
      <c r="G18" s="30">
        <f>1123*0.12</f>
        <v>134.76</v>
      </c>
      <c r="H18" s="30">
        <f>36.78*0.12</f>
        <v>4.4135999999999997</v>
      </c>
      <c r="I18" s="30">
        <f>30.1*0.12</f>
        <v>3.6120000000000001</v>
      </c>
      <c r="J18" s="31">
        <f>176.3*0.12</f>
        <v>21.155999999999999</v>
      </c>
    </row>
    <row r="19" spans="1:10" x14ac:dyDescent="0.25">
      <c r="A19" s="65"/>
      <c r="B19" s="9" t="s">
        <v>18</v>
      </c>
      <c r="C19" s="6" t="s">
        <v>19</v>
      </c>
      <c r="D19" s="6" t="s">
        <v>20</v>
      </c>
      <c r="E19" s="21" t="s">
        <v>34</v>
      </c>
      <c r="F19" s="8">
        <v>2.63</v>
      </c>
      <c r="G19" s="8">
        <v>60</v>
      </c>
      <c r="H19" s="8">
        <v>7.0000000000000007E-2</v>
      </c>
      <c r="I19" s="8">
        <v>0.02</v>
      </c>
      <c r="J19" s="10">
        <v>15</v>
      </c>
    </row>
    <row r="20" spans="1:10" ht="15.75" thickBot="1" x14ac:dyDescent="0.3">
      <c r="A20" s="65"/>
      <c r="B20" s="12" t="s">
        <v>14</v>
      </c>
      <c r="C20" s="13" t="s">
        <v>32</v>
      </c>
      <c r="D20" s="13" t="s">
        <v>33</v>
      </c>
      <c r="E20" s="22">
        <v>36.5</v>
      </c>
      <c r="F20" s="23">
        <v>1.5</v>
      </c>
      <c r="G20" s="23">
        <f>229.7*0.365</f>
        <v>83.840499999999992</v>
      </c>
      <c r="H20" s="14">
        <f>6.7*0.365</f>
        <v>2.4455</v>
      </c>
      <c r="I20" s="14">
        <f>1.1*0.365</f>
        <v>0.40150000000000002</v>
      </c>
      <c r="J20" s="15">
        <f>48.3*0.365</f>
        <v>17.6295</v>
      </c>
    </row>
    <row r="21" spans="1:10" ht="16.5" thickBot="1" x14ac:dyDescent="0.3">
      <c r="A21" s="83" t="s">
        <v>15</v>
      </c>
      <c r="B21" s="84"/>
      <c r="C21" s="84"/>
      <c r="D21" s="84"/>
      <c r="E21" s="85"/>
      <c r="F21" s="27">
        <f>SUM(F16:F20)</f>
        <v>45.000000000000007</v>
      </c>
      <c r="G21" s="27">
        <f>SUM(G16:G20)</f>
        <v>602.2505000000001</v>
      </c>
      <c r="H21" s="27">
        <f>SUM(H16:H20)</f>
        <v>16.6206</v>
      </c>
      <c r="I21" s="27">
        <f>SUM(I16:I20)</f>
        <v>25.924499999999998</v>
      </c>
      <c r="J21" s="27">
        <f>SUM(J16:J20)</f>
        <v>73.924499999999995</v>
      </c>
    </row>
    <row r="22" spans="1:10" ht="16.5" customHeight="1" x14ac:dyDescent="0.25">
      <c r="A22" s="82" t="s">
        <v>45</v>
      </c>
      <c r="B22" s="16" t="s">
        <v>31</v>
      </c>
      <c r="C22" s="17" t="s">
        <v>61</v>
      </c>
      <c r="D22" s="17" t="s">
        <v>63</v>
      </c>
      <c r="E22" s="18" t="s">
        <v>62</v>
      </c>
      <c r="F22" s="18">
        <v>4.0199999999999996</v>
      </c>
      <c r="G22" s="19">
        <f>928*0.05</f>
        <v>46.400000000000006</v>
      </c>
      <c r="H22" s="19">
        <f>14.08*0.05</f>
        <v>0.70400000000000007</v>
      </c>
      <c r="I22" s="19">
        <f>60.12*0.05</f>
        <v>3.0060000000000002</v>
      </c>
      <c r="J22" s="20">
        <f>82.6*0.05</f>
        <v>4.13</v>
      </c>
    </row>
    <row r="23" spans="1:10" x14ac:dyDescent="0.25">
      <c r="A23" s="82"/>
      <c r="B23" s="9" t="s">
        <v>16</v>
      </c>
      <c r="C23" s="6" t="s">
        <v>46</v>
      </c>
      <c r="D23" s="6" t="s">
        <v>47</v>
      </c>
      <c r="E23" s="21" t="s">
        <v>48</v>
      </c>
      <c r="F23" s="8">
        <v>11.85</v>
      </c>
      <c r="G23" s="8">
        <f>429*0.25+162*0.1</f>
        <v>123.45</v>
      </c>
      <c r="H23" s="8">
        <f>8.07*0.25+2.6*0.1</f>
        <v>2.2774999999999999</v>
      </c>
      <c r="I23" s="8">
        <f>20.36*0.25+15*0.1</f>
        <v>6.59</v>
      </c>
      <c r="J23" s="10">
        <f>47.92*0.25+3.6*0.1</f>
        <v>12.34</v>
      </c>
    </row>
    <row r="24" spans="1:10" x14ac:dyDescent="0.25">
      <c r="A24" s="82"/>
      <c r="B24" s="9" t="s">
        <v>13</v>
      </c>
      <c r="C24" s="6" t="s">
        <v>49</v>
      </c>
      <c r="D24" s="6" t="s">
        <v>50</v>
      </c>
      <c r="E24" s="21">
        <v>75</v>
      </c>
      <c r="F24" s="8">
        <v>28.44</v>
      </c>
      <c r="G24" s="30">
        <f>182/50*75</f>
        <v>273</v>
      </c>
      <c r="H24" s="30">
        <f>6.74/50*75</f>
        <v>10.11</v>
      </c>
      <c r="I24" s="30">
        <f>13.91/50*75</f>
        <v>20.865000000000002</v>
      </c>
      <c r="J24" s="31">
        <f>7.09/50*75</f>
        <v>10.635000000000002</v>
      </c>
    </row>
    <row r="25" spans="1:10" x14ac:dyDescent="0.25">
      <c r="A25" s="82"/>
      <c r="B25" s="9" t="s">
        <v>17</v>
      </c>
      <c r="C25" s="6" t="s">
        <v>51</v>
      </c>
      <c r="D25" s="6" t="s">
        <v>52</v>
      </c>
      <c r="E25" s="21">
        <v>120</v>
      </c>
      <c r="F25" s="8">
        <v>8.16</v>
      </c>
      <c r="G25" s="30">
        <f>1123*0.12</f>
        <v>134.76</v>
      </c>
      <c r="H25" s="30">
        <f>36.78*0.12</f>
        <v>4.4135999999999997</v>
      </c>
      <c r="I25" s="30">
        <f>30.1*0.12</f>
        <v>3.6120000000000001</v>
      </c>
      <c r="J25" s="31">
        <f>176.3*0.12</f>
        <v>21.155999999999999</v>
      </c>
    </row>
    <row r="26" spans="1:10" s="52" customFormat="1" x14ac:dyDescent="0.25">
      <c r="A26" s="82"/>
      <c r="B26" s="9" t="s">
        <v>18</v>
      </c>
      <c r="C26" s="6" t="s">
        <v>19</v>
      </c>
      <c r="D26" s="6" t="s">
        <v>20</v>
      </c>
      <c r="E26" s="21" t="s">
        <v>34</v>
      </c>
      <c r="F26" s="8">
        <v>2.63</v>
      </c>
      <c r="G26" s="8">
        <v>60</v>
      </c>
      <c r="H26" s="8">
        <v>7.0000000000000007E-2</v>
      </c>
      <c r="I26" s="8">
        <v>0.02</v>
      </c>
      <c r="J26" s="10">
        <v>15</v>
      </c>
    </row>
    <row r="27" spans="1:10" x14ac:dyDescent="0.25">
      <c r="A27" s="82"/>
      <c r="B27" s="9" t="s">
        <v>14</v>
      </c>
      <c r="C27" s="6" t="s">
        <v>32</v>
      </c>
      <c r="D27" s="6" t="s">
        <v>33</v>
      </c>
      <c r="E27" s="21">
        <v>13</v>
      </c>
      <c r="F27" s="8">
        <v>0.54</v>
      </c>
      <c r="G27" s="8">
        <f>229.7*0.13</f>
        <v>29.861000000000001</v>
      </c>
      <c r="H27" s="7">
        <f>6.7*0.13</f>
        <v>0.87100000000000011</v>
      </c>
      <c r="I27" s="7">
        <f>1.1*0.13</f>
        <v>0.14300000000000002</v>
      </c>
      <c r="J27" s="11">
        <f>48.3*0.13</f>
        <v>6.2789999999999999</v>
      </c>
    </row>
    <row r="28" spans="1:10" ht="15.75" thickBot="1" x14ac:dyDescent="0.3">
      <c r="A28" s="82"/>
      <c r="B28" s="12" t="s">
        <v>42</v>
      </c>
      <c r="C28" s="13" t="s">
        <v>43</v>
      </c>
      <c r="D28" s="13" t="s">
        <v>60</v>
      </c>
      <c r="E28" s="22">
        <v>110</v>
      </c>
      <c r="F28" s="23">
        <v>13.86</v>
      </c>
      <c r="G28" s="33">
        <f>38*1.1</f>
        <v>41.800000000000004</v>
      </c>
      <c r="H28" s="33">
        <f>0.8*1.1</f>
        <v>0.88000000000000012</v>
      </c>
      <c r="I28" s="33">
        <f>0.2*1.1</f>
        <v>0.22000000000000003</v>
      </c>
      <c r="J28" s="34">
        <f>7.5*1.1</f>
        <v>8.25</v>
      </c>
    </row>
    <row r="29" spans="1:10" ht="16.5" thickBot="1" x14ac:dyDescent="0.3">
      <c r="A29" s="83" t="s">
        <v>15</v>
      </c>
      <c r="B29" s="84"/>
      <c r="C29" s="84"/>
      <c r="D29" s="84"/>
      <c r="E29" s="85"/>
      <c r="F29" s="27">
        <f>SUM(F22:F28)</f>
        <v>69.5</v>
      </c>
      <c r="G29" s="27">
        <f t="shared" ref="G29:J29" si="1">SUM(G22:G28)</f>
        <v>709.27099999999996</v>
      </c>
      <c r="H29" s="27">
        <f t="shared" si="1"/>
        <v>19.326099999999997</v>
      </c>
      <c r="I29" s="27">
        <f t="shared" si="1"/>
        <v>34.456000000000003</v>
      </c>
      <c r="J29" s="27">
        <f t="shared" si="1"/>
        <v>77.789999999999992</v>
      </c>
    </row>
    <row r="31" spans="1:10" ht="15.75" thickBot="1" x14ac:dyDescent="0.3">
      <c r="A31" s="59" t="s">
        <v>25</v>
      </c>
      <c r="B31" s="59"/>
      <c r="C31" s="59"/>
      <c r="D31" s="59"/>
      <c r="E31" s="59"/>
      <c r="F31" s="59"/>
      <c r="G31" s="59"/>
      <c r="H31" s="59"/>
      <c r="I31" s="59"/>
      <c r="J31" s="59"/>
    </row>
    <row r="32" spans="1:10" ht="15.75" x14ac:dyDescent="0.25">
      <c r="A32" s="29"/>
      <c r="B32" s="29"/>
      <c r="C32" s="58" t="s">
        <v>23</v>
      </c>
      <c r="D32" s="58"/>
      <c r="G32" s="60"/>
      <c r="H32" s="60"/>
      <c r="I32" s="60"/>
      <c r="J32" s="60"/>
    </row>
    <row r="33" spans="1:4" x14ac:dyDescent="0.25">
      <c r="A33" s="1"/>
      <c r="B33" s="1"/>
      <c r="C33" s="1"/>
      <c r="D33" s="1"/>
    </row>
    <row r="34" spans="1:4" x14ac:dyDescent="0.25">
      <c r="A34" s="70" t="s">
        <v>24</v>
      </c>
      <c r="B34" s="70"/>
    </row>
    <row r="35" spans="1:4" x14ac:dyDescent="0.25">
      <c r="A35" s="70" t="s">
        <v>26</v>
      </c>
      <c r="B35" s="70"/>
    </row>
    <row r="36" spans="1:4" x14ac:dyDescent="0.25">
      <c r="A36" s="4"/>
    </row>
  </sheetData>
  <mergeCells count="17">
    <mergeCell ref="A34:B34"/>
    <mergeCell ref="A35:B35"/>
    <mergeCell ref="A9:A11"/>
    <mergeCell ref="A12:E12"/>
    <mergeCell ref="A13:A14"/>
    <mergeCell ref="A15:E15"/>
    <mergeCell ref="A22:A28"/>
    <mergeCell ref="A29:E29"/>
    <mergeCell ref="A31:J31"/>
    <mergeCell ref="C32:D32"/>
    <mergeCell ref="G32:J32"/>
    <mergeCell ref="A21:E21"/>
    <mergeCell ref="B1:C1"/>
    <mergeCell ref="G1:J1"/>
    <mergeCell ref="A3:A7"/>
    <mergeCell ref="A8:E8"/>
    <mergeCell ref="A16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19.11 1-4 кл</vt:lpstr>
      <vt:lpstr>19.11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2021-11-18T11:35:36Z</dcterms:modified>
</cp:coreProperties>
</file>