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24.11 1-4 кл" sheetId="1" r:id="rId1"/>
    <sheet name="24.11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2" l="1"/>
  <c r="I29" i="2"/>
  <c r="H29" i="2"/>
  <c r="G29" i="2"/>
  <c r="J28" i="2"/>
  <c r="I28" i="2"/>
  <c r="H28" i="2"/>
  <c r="G28" i="2"/>
  <c r="J27" i="2"/>
  <c r="I27" i="2"/>
  <c r="H27" i="2"/>
  <c r="G27" i="2"/>
  <c r="J26" i="2"/>
  <c r="I26" i="2"/>
  <c r="H26" i="2"/>
  <c r="G26" i="2"/>
  <c r="J25" i="2"/>
  <c r="I25" i="2"/>
  <c r="H25" i="2"/>
  <c r="G25" i="2"/>
  <c r="J24" i="2"/>
  <c r="I24" i="2"/>
  <c r="H24" i="2"/>
  <c r="G24" i="2"/>
  <c r="J23" i="2"/>
  <c r="I23" i="2"/>
  <c r="H23" i="2"/>
  <c r="G23" i="2"/>
  <c r="J21" i="2"/>
  <c r="I21" i="2"/>
  <c r="H21" i="2"/>
  <c r="G21" i="2"/>
  <c r="J19" i="2"/>
  <c r="I19" i="2"/>
  <c r="H19" i="2"/>
  <c r="G19" i="2"/>
  <c r="J18" i="2"/>
  <c r="I18" i="2"/>
  <c r="H18" i="2"/>
  <c r="G18" i="2"/>
  <c r="J17" i="2"/>
  <c r="I17" i="2"/>
  <c r="H17" i="2"/>
  <c r="G17" i="2"/>
  <c r="J14" i="2"/>
  <c r="I14" i="2"/>
  <c r="H14" i="2"/>
  <c r="G14" i="2"/>
  <c r="J10" i="2"/>
  <c r="I10" i="2"/>
  <c r="H10" i="2"/>
  <c r="G10" i="2"/>
  <c r="J9" i="2"/>
  <c r="I9" i="2"/>
  <c r="H9" i="2"/>
  <c r="G9" i="2"/>
  <c r="J12" i="2"/>
  <c r="I12" i="2"/>
  <c r="H12" i="2"/>
  <c r="G12" i="2"/>
  <c r="J7" i="2"/>
  <c r="I7" i="2"/>
  <c r="H7" i="2"/>
  <c r="G7" i="2"/>
  <c r="J6" i="2"/>
  <c r="I6" i="2"/>
  <c r="H6" i="2"/>
  <c r="G6" i="2"/>
  <c r="J4" i="2"/>
  <c r="I4" i="2"/>
  <c r="H4" i="2"/>
  <c r="G4" i="2"/>
  <c r="J3" i="2"/>
  <c r="I3" i="2"/>
  <c r="H3" i="2"/>
  <c r="G3" i="2"/>
  <c r="J21" i="1"/>
  <c r="I21" i="1"/>
  <c r="H21" i="1"/>
  <c r="G21" i="1"/>
  <c r="J22" i="1"/>
  <c r="J20" i="1"/>
  <c r="I20" i="1"/>
  <c r="H20" i="1"/>
  <c r="G20" i="1"/>
  <c r="J19" i="1"/>
  <c r="I19" i="1"/>
  <c r="H19" i="1"/>
  <c r="G19" i="1"/>
  <c r="H22" i="1"/>
  <c r="J18" i="1"/>
  <c r="I18" i="1"/>
  <c r="H18" i="1"/>
  <c r="G18" i="1"/>
  <c r="J15" i="1"/>
  <c r="I15" i="1"/>
  <c r="H15" i="1"/>
  <c r="G15" i="1"/>
  <c r="G22" i="1"/>
  <c r="I22" i="1"/>
  <c r="F22" i="1"/>
  <c r="J25" i="1" l="1"/>
  <c r="I25" i="1"/>
  <c r="H25" i="1"/>
  <c r="G25" i="1"/>
  <c r="J24" i="1"/>
  <c r="I24" i="1"/>
  <c r="H24" i="1"/>
  <c r="G24" i="1"/>
  <c r="J13" i="1"/>
  <c r="I13" i="1"/>
  <c r="H13" i="1"/>
  <c r="G13" i="1"/>
  <c r="J11" i="1"/>
  <c r="I11" i="1"/>
  <c r="H11" i="1"/>
  <c r="G11" i="1"/>
  <c r="J10" i="1"/>
  <c r="I10" i="1"/>
  <c r="H10" i="1"/>
  <c r="G10" i="1"/>
  <c r="J17" i="1"/>
  <c r="I17" i="1"/>
  <c r="H17" i="1"/>
  <c r="G17" i="1"/>
  <c r="J9" i="1"/>
  <c r="I9" i="1"/>
  <c r="H9" i="1"/>
  <c r="G9" i="1"/>
  <c r="G8" i="1"/>
  <c r="H8" i="1"/>
  <c r="I8" i="1"/>
  <c r="J8" i="1"/>
  <c r="F8" i="1"/>
  <c r="J7" i="1"/>
  <c r="I7" i="1"/>
  <c r="H7" i="1"/>
  <c r="G7" i="1"/>
  <c r="J6" i="1"/>
  <c r="I6" i="1"/>
  <c r="H6" i="1"/>
  <c r="G6" i="1"/>
  <c r="J4" i="1" l="1"/>
  <c r="I4" i="1"/>
  <c r="H4" i="1"/>
  <c r="G4" i="1"/>
  <c r="J3" i="1"/>
  <c r="I3" i="1"/>
  <c r="H3" i="1"/>
  <c r="G3" i="1"/>
  <c r="G22" i="2" l="1"/>
  <c r="H22" i="2"/>
  <c r="I22" i="2"/>
  <c r="J22" i="2"/>
  <c r="F22" i="2"/>
  <c r="G30" i="2"/>
  <c r="H30" i="2"/>
  <c r="I30" i="2"/>
  <c r="J30" i="2"/>
  <c r="F30" i="2"/>
  <c r="J16" i="1"/>
  <c r="I16" i="1"/>
  <c r="H16" i="1"/>
  <c r="G16" i="1"/>
  <c r="G26" i="1" l="1"/>
  <c r="H26" i="1"/>
  <c r="I26" i="1"/>
  <c r="J26" i="1"/>
  <c r="F26" i="1"/>
  <c r="F14" i="1"/>
  <c r="G8" i="2"/>
  <c r="H8" i="2"/>
  <c r="I8" i="2"/>
  <c r="J8" i="2"/>
  <c r="F8" i="2"/>
  <c r="G13" i="2"/>
  <c r="H13" i="2"/>
  <c r="I13" i="2"/>
  <c r="J13" i="2"/>
  <c r="F13" i="2"/>
  <c r="G16" i="2"/>
  <c r="H16" i="2"/>
  <c r="I16" i="2"/>
  <c r="J16" i="2"/>
  <c r="F16" i="2"/>
  <c r="J14" i="1" l="1"/>
  <c r="I14" i="1"/>
  <c r="H14" i="1"/>
  <c r="G14" i="1"/>
</calcChain>
</file>

<file path=xl/sharedStrings.xml><?xml version="1.0" encoding="utf-8"?>
<sst xmlns="http://schemas.openxmlformats.org/spreadsheetml/2006/main" count="195" uniqueCount="74">
  <si>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</si>
  <si>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</si>
  <si>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</si>
  <si>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</si>
  <si>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</si>
  <si>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</si>
  <si>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</si>
  <si>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</si>
  <si>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</si>
  <si>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</si>
  <si>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</si>
  <si>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</si>
  <si>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</si>
  <si>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</si>
  <si>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</si>
  <si>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</si>
  <si>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</si>
  <si>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</si>
  <si>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</si>
  <si>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</si>
  <si>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</si>
  <si>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</si>
  <si>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</si>
  <si>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</si>
  <si>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</si>
  <si>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</si>
  <si>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</si>
  <si>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</si>
  <si>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</si>
  <si>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</si>
  <si>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</si>
  <si>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</si>
  <si>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</si>
  <si>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</si>
  <si>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</si>
  <si>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</si>
  <si>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</si>
  <si>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</si>
  <si>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</si>
  <si>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</si>
  <si>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ПР</t>
  </si>
  <si>
    <t>Кондитерское изделие</t>
  </si>
  <si>
    <t>Фрукт</t>
  </si>
  <si>
    <t>№338-2015г.</t>
  </si>
  <si>
    <t>Апельсин свежий (порционно)</t>
  </si>
  <si>
    <t>№111-2015г.</t>
  </si>
  <si>
    <t>Суп с макаронными изделиями с цыплёнком и зеленью</t>
  </si>
  <si>
    <t>Биточки рыбные "по-домашнему" из минтая</t>
  </si>
  <si>
    <t>ТТК №22</t>
  </si>
  <si>
    <t>Напиток (сладкое блюдо)</t>
  </si>
  <si>
    <t>250/10/2</t>
  </si>
  <si>
    <t>№260-2015г.</t>
  </si>
  <si>
    <t>Гуляш из свинины</t>
  </si>
  <si>
    <t>№1-2015г.</t>
  </si>
  <si>
    <t>Бутерброд с маслом сливочным</t>
  </si>
  <si>
    <t>30/30</t>
  </si>
  <si>
    <t>№304-2015г.</t>
  </si>
  <si>
    <t>Рис отварной</t>
  </si>
  <si>
    <t>Напиток</t>
  </si>
  <si>
    <t>Молочный коктейль "Авишка" 2,5%</t>
  </si>
  <si>
    <t>Печенье "Сахарное"</t>
  </si>
  <si>
    <t>Суп с макаронными изделиями с зеленью</t>
  </si>
  <si>
    <t>250/2</t>
  </si>
  <si>
    <t>ТТК №13</t>
  </si>
  <si>
    <t>Картофель тушёный по-домашнему</t>
  </si>
  <si>
    <t>Сок фруктовый</t>
  </si>
  <si>
    <t>№45-2015г.</t>
  </si>
  <si>
    <t>Салат из белокочанной капусты с морковью</t>
  </si>
  <si>
    <t>№349-2015г.</t>
  </si>
  <si>
    <t>Компот из смеси сухофруктов</t>
  </si>
  <si>
    <t>№422-2015г.</t>
  </si>
  <si>
    <t>Булочка ванильная</t>
  </si>
  <si>
    <t>20/20</t>
  </si>
  <si>
    <t>3,5/23,5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</si>
</sst>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2" fontId="1" fillId="0" borderId="13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1" fillId="0" borderId="16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5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2" fontId="1" fillId="0" borderId="29" xfId="0" applyNumberFormat="1" applyFont="1" applyBorder="1" applyAlignment="1">
      <alignment vertical="center" wrapText="1"/>
    </xf>
    <xf numFmtId="4" fontId="1" fillId="0" borderId="29" xfId="0" applyNumberFormat="1" applyFont="1" applyBorder="1" applyAlignment="1">
      <alignment horizontal="right" vertical="center" wrapText="1"/>
    </xf>
    <xf numFmtId="4" fontId="1" fillId="0" borderId="30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right" vertical="center" wrapText="1"/>
    </xf>
    <xf numFmtId="4" fontId="1" fillId="0" borderId="29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vertical="center" wrapText="1"/>
    </xf>
    <xf numFmtId="4" fontId="1" fillId="0" borderId="16" xfId="0" applyNumberFormat="1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2" fillId="0" borderId="22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B15" sqref="B15:J21"/>
    </sheetView>
  </sheetViews>
  <sheetFormatPr defaultRowHeight="15" x14ac:dyDescent="0.25"/>
  <cols>
    <col min="1" max="1" width="24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53" t="s">
        <v>22</v>
      </c>
      <c r="C1" s="54"/>
      <c r="D1" s="1" t="s">
        <v>1</v>
      </c>
      <c r="E1" s="36"/>
      <c r="F1" s="1" t="s">
        <v>2</v>
      </c>
      <c r="G1" s="87">
        <v>44524</v>
      </c>
      <c r="H1" s="88"/>
      <c r="I1" s="88"/>
      <c r="J1" s="89"/>
      <c r="K1" s="1"/>
      <c r="L1" s="1"/>
    </row>
    <row r="2" spans="1:12" ht="15.75" thickBot="1" x14ac:dyDescent="0.3">
      <c r="A2" s="52" t="s">
        <v>3</v>
      </c>
      <c r="B2" s="5" t="s">
        <v>4</v>
      </c>
      <c r="C2" s="83" t="s">
        <v>5</v>
      </c>
      <c r="D2" s="52" t="s">
        <v>6</v>
      </c>
      <c r="E2" s="52" t="s">
        <v>7</v>
      </c>
      <c r="F2" s="52" t="s">
        <v>8</v>
      </c>
      <c r="G2" s="5" t="s">
        <v>9</v>
      </c>
      <c r="H2" s="5" t="s">
        <v>10</v>
      </c>
      <c r="I2" s="5" t="s">
        <v>11</v>
      </c>
      <c r="J2" s="86" t="s">
        <v>12</v>
      </c>
    </row>
    <row r="3" spans="1:12" x14ac:dyDescent="0.25">
      <c r="A3" s="84" t="s">
        <v>27</v>
      </c>
      <c r="B3" s="23" t="s">
        <v>13</v>
      </c>
      <c r="C3" s="24" t="s">
        <v>51</v>
      </c>
      <c r="D3" s="24" t="s">
        <v>52</v>
      </c>
      <c r="E3" s="16" t="s">
        <v>55</v>
      </c>
      <c r="F3" s="17">
        <v>23.77</v>
      </c>
      <c r="G3" s="17">
        <f>309*0.6</f>
        <v>185.4</v>
      </c>
      <c r="H3" s="17">
        <f>10.64*0.6</f>
        <v>6.3840000000000003</v>
      </c>
      <c r="I3" s="17">
        <f>28.19*0.6</f>
        <v>16.914000000000001</v>
      </c>
      <c r="J3" s="18">
        <f>2.89*0.6</f>
        <v>1.734</v>
      </c>
      <c r="K3"/>
    </row>
    <row r="4" spans="1:12" s="50" customFormat="1" x14ac:dyDescent="0.25">
      <c r="A4" s="84"/>
      <c r="B4" s="8" t="s">
        <v>17</v>
      </c>
      <c r="C4" s="46" t="s">
        <v>56</v>
      </c>
      <c r="D4" s="48" t="s">
        <v>57</v>
      </c>
      <c r="E4" s="19">
        <v>110</v>
      </c>
      <c r="F4" s="7">
        <v>8.3699999999999992</v>
      </c>
      <c r="G4" s="33">
        <f>1398*0.11</f>
        <v>153.78</v>
      </c>
      <c r="H4" s="33">
        <f>24.34*0.11</f>
        <v>2.6774</v>
      </c>
      <c r="I4" s="33">
        <f>35.83*0.11</f>
        <v>3.9413</v>
      </c>
      <c r="J4" s="34">
        <f>244.56*0.11</f>
        <v>26.901600000000002</v>
      </c>
      <c r="K4"/>
    </row>
    <row r="5" spans="1:12" s="50" customFormat="1" x14ac:dyDescent="0.25">
      <c r="A5" s="84"/>
      <c r="B5" s="8" t="s">
        <v>58</v>
      </c>
      <c r="C5" s="46" t="s">
        <v>40</v>
      </c>
      <c r="D5" s="6" t="s">
        <v>59</v>
      </c>
      <c r="E5" s="19">
        <v>200</v>
      </c>
      <c r="F5" s="7">
        <v>34.299999999999997</v>
      </c>
      <c r="G5" s="7">
        <v>160</v>
      </c>
      <c r="H5" s="7">
        <v>5</v>
      </c>
      <c r="I5" s="7">
        <v>6.2</v>
      </c>
      <c r="J5" s="9">
        <v>22</v>
      </c>
      <c r="K5"/>
    </row>
    <row r="6" spans="1:12" s="51" customFormat="1" x14ac:dyDescent="0.25">
      <c r="A6" s="84"/>
      <c r="B6" s="41" t="s">
        <v>41</v>
      </c>
      <c r="C6" s="42" t="s">
        <v>40</v>
      </c>
      <c r="D6" s="42" t="s">
        <v>60</v>
      </c>
      <c r="E6" s="90">
        <v>20</v>
      </c>
      <c r="F6" s="43">
        <v>2.58</v>
      </c>
      <c r="G6" s="44">
        <f>480*0.2</f>
        <v>96</v>
      </c>
      <c r="H6" s="44">
        <f>8.5*0.2</f>
        <v>1.7000000000000002</v>
      </c>
      <c r="I6" s="44">
        <f>18*0.2</f>
        <v>3.6</v>
      </c>
      <c r="J6" s="45">
        <f>70*0.2</f>
        <v>14</v>
      </c>
      <c r="K6"/>
    </row>
    <row r="7" spans="1:12" ht="15.75" thickBot="1" x14ac:dyDescent="0.3">
      <c r="A7" s="85"/>
      <c r="B7" s="10" t="s">
        <v>14</v>
      </c>
      <c r="C7" s="11" t="s">
        <v>32</v>
      </c>
      <c r="D7" s="11" t="s">
        <v>33</v>
      </c>
      <c r="E7" s="20">
        <v>12</v>
      </c>
      <c r="F7" s="21">
        <v>0.48</v>
      </c>
      <c r="G7" s="21">
        <f>229.7*0.12</f>
        <v>27.563999999999997</v>
      </c>
      <c r="H7" s="12">
        <f>6.7*0.12</f>
        <v>0.80399999999999994</v>
      </c>
      <c r="I7" s="12">
        <f>1.1*0.12</f>
        <v>0.13200000000000001</v>
      </c>
      <c r="J7" s="13">
        <f>48.3*0.12</f>
        <v>5.7959999999999994</v>
      </c>
      <c r="K7"/>
    </row>
    <row r="8" spans="1:12" ht="16.5" thickBot="1" x14ac:dyDescent="0.3">
      <c r="A8" s="58" t="s">
        <v>15</v>
      </c>
      <c r="B8" s="59"/>
      <c r="C8" s="59"/>
      <c r="D8" s="59"/>
      <c r="E8" s="60"/>
      <c r="F8" s="22">
        <f>SUM(F3:F7)</f>
        <v>69.5</v>
      </c>
      <c r="G8" s="22">
        <f t="shared" ref="G8:J8" si="0">SUM(G3:G7)</f>
        <v>622.74400000000003</v>
      </c>
      <c r="H8" s="22">
        <f t="shared" si="0"/>
        <v>16.5654</v>
      </c>
      <c r="I8" s="22">
        <f t="shared" si="0"/>
        <v>30.787300000000002</v>
      </c>
      <c r="J8" s="22">
        <f t="shared" si="0"/>
        <v>70.431600000000003</v>
      </c>
    </row>
    <row r="9" spans="1:12" x14ac:dyDescent="0.25">
      <c r="A9" s="61" t="s">
        <v>28</v>
      </c>
      <c r="B9" s="23" t="s">
        <v>16</v>
      </c>
      <c r="C9" s="24" t="s">
        <v>45</v>
      </c>
      <c r="D9" s="24" t="s">
        <v>61</v>
      </c>
      <c r="E9" s="16" t="s">
        <v>62</v>
      </c>
      <c r="F9" s="17">
        <v>6.14</v>
      </c>
      <c r="G9" s="17">
        <f>468*0.25</f>
        <v>117</v>
      </c>
      <c r="H9" s="17">
        <f>9.54*0.25</f>
        <v>2.3849999999999998</v>
      </c>
      <c r="I9" s="17">
        <f>20.31*0.25</f>
        <v>5.0774999999999997</v>
      </c>
      <c r="J9" s="18">
        <f>51.98*0.25</f>
        <v>12.994999999999999</v>
      </c>
      <c r="K9"/>
    </row>
    <row r="10" spans="1:12" x14ac:dyDescent="0.25">
      <c r="A10" s="62"/>
      <c r="B10" s="8" t="s">
        <v>13</v>
      </c>
      <c r="C10" s="46" t="s">
        <v>48</v>
      </c>
      <c r="D10" s="46" t="s">
        <v>47</v>
      </c>
      <c r="E10" s="19">
        <v>47</v>
      </c>
      <c r="F10" s="7">
        <v>23.67</v>
      </c>
      <c r="G10" s="35">
        <f>132.2/75*47</f>
        <v>82.845333333333329</v>
      </c>
      <c r="H10" s="35">
        <f>9.5/75*47</f>
        <v>5.953333333333334</v>
      </c>
      <c r="I10" s="35">
        <f>5.6/75*47</f>
        <v>3.5093333333333332</v>
      </c>
      <c r="J10" s="40">
        <f>10.9/75*47</f>
        <v>6.8306666666666667</v>
      </c>
      <c r="K10"/>
    </row>
    <row r="11" spans="1:12" x14ac:dyDescent="0.25">
      <c r="A11" s="62"/>
      <c r="B11" s="8" t="s">
        <v>17</v>
      </c>
      <c r="C11" s="46" t="s">
        <v>63</v>
      </c>
      <c r="D11" s="48" t="s">
        <v>64</v>
      </c>
      <c r="E11" s="19">
        <v>100</v>
      </c>
      <c r="F11" s="7">
        <v>11.43</v>
      </c>
      <c r="G11" s="33">
        <f>89.4</f>
        <v>89.4</v>
      </c>
      <c r="H11" s="33">
        <f>1.7</f>
        <v>1.7</v>
      </c>
      <c r="I11" s="33">
        <f>3.5</f>
        <v>3.5</v>
      </c>
      <c r="J11" s="34">
        <f>12.8</f>
        <v>12.8</v>
      </c>
      <c r="K11"/>
    </row>
    <row r="12" spans="1:12" x14ac:dyDescent="0.25">
      <c r="A12" s="62"/>
      <c r="B12" s="8" t="s">
        <v>18</v>
      </c>
      <c r="C12" s="6" t="s">
        <v>19</v>
      </c>
      <c r="D12" s="6" t="s">
        <v>20</v>
      </c>
      <c r="E12" s="19" t="s">
        <v>34</v>
      </c>
      <c r="F12" s="7">
        <v>2.63</v>
      </c>
      <c r="G12" s="7">
        <v>60</v>
      </c>
      <c r="H12" s="7">
        <v>7.0000000000000007E-2</v>
      </c>
      <c r="I12" s="7">
        <v>0.02</v>
      </c>
      <c r="J12" s="9">
        <v>15</v>
      </c>
      <c r="K12"/>
    </row>
    <row r="13" spans="1:12" ht="15.75" thickBot="1" x14ac:dyDescent="0.3">
      <c r="A13" s="62"/>
      <c r="B13" s="10" t="s">
        <v>14</v>
      </c>
      <c r="C13" s="11" t="s">
        <v>32</v>
      </c>
      <c r="D13" s="11" t="s">
        <v>33</v>
      </c>
      <c r="E13" s="20">
        <v>27.5</v>
      </c>
      <c r="F13" s="21">
        <v>1.1299999999999999</v>
      </c>
      <c r="G13" s="21">
        <f>229.7*0.275</f>
        <v>63.167500000000004</v>
      </c>
      <c r="H13" s="12">
        <f>6.7*0.275</f>
        <v>1.8425000000000002</v>
      </c>
      <c r="I13" s="12">
        <f>1.1*0.275</f>
        <v>0.30250000000000005</v>
      </c>
      <c r="J13" s="13">
        <f>48.3*0.275</f>
        <v>13.282500000000001</v>
      </c>
    </row>
    <row r="14" spans="1:12" ht="16.5" thickBot="1" x14ac:dyDescent="0.3">
      <c r="A14" s="63" t="s">
        <v>15</v>
      </c>
      <c r="B14" s="59"/>
      <c r="C14" s="59"/>
      <c r="D14" s="59"/>
      <c r="E14" s="60"/>
      <c r="F14" s="22">
        <f>SUM(F9:F13)</f>
        <v>45.000000000000007</v>
      </c>
      <c r="G14" s="22">
        <f t="shared" ref="G14:J14" si="1">SUM(G9:G13)</f>
        <v>412.41283333333331</v>
      </c>
      <c r="H14" s="22">
        <f t="shared" si="1"/>
        <v>11.950833333333335</v>
      </c>
      <c r="I14" s="22">
        <f t="shared" si="1"/>
        <v>12.409333333333333</v>
      </c>
      <c r="J14" s="22">
        <f t="shared" si="1"/>
        <v>60.908166666666666</v>
      </c>
    </row>
    <row r="15" spans="1:12" s="51" customFormat="1" ht="15" customHeight="1" x14ac:dyDescent="0.25">
      <c r="A15" s="69" t="s">
        <v>29</v>
      </c>
      <c r="B15" s="14" t="s">
        <v>31</v>
      </c>
      <c r="C15" s="15" t="s">
        <v>66</v>
      </c>
      <c r="D15" s="15" t="s">
        <v>67</v>
      </c>
      <c r="E15" s="16">
        <v>40</v>
      </c>
      <c r="F15" s="16">
        <v>3.41</v>
      </c>
      <c r="G15" s="17">
        <f>604*0.04</f>
        <v>24.16</v>
      </c>
      <c r="H15" s="17">
        <f>13.12*0.04</f>
        <v>0.52479999999999993</v>
      </c>
      <c r="I15" s="17">
        <f>32.49*0.04</f>
        <v>1.2996000000000001</v>
      </c>
      <c r="J15" s="18">
        <f>64.66*0.04</f>
        <v>2.5863999999999998</v>
      </c>
    </row>
    <row r="16" spans="1:12" s="49" customFormat="1" ht="30" x14ac:dyDescent="0.25">
      <c r="A16" s="65"/>
      <c r="B16" s="8" t="s">
        <v>16</v>
      </c>
      <c r="C16" s="6" t="s">
        <v>45</v>
      </c>
      <c r="D16" s="6" t="s">
        <v>46</v>
      </c>
      <c r="E16" s="19" t="s">
        <v>50</v>
      </c>
      <c r="F16" s="7">
        <v>13.78</v>
      </c>
      <c r="G16" s="7">
        <f>468*0.25+211*0.1</f>
        <v>138.1</v>
      </c>
      <c r="H16" s="7">
        <f>9.54*0.25+21.1*0.1</f>
        <v>4.4950000000000001</v>
      </c>
      <c r="I16" s="7">
        <f>20.31*0.25+13.6*0.1</f>
        <v>6.4375</v>
      </c>
      <c r="J16" s="9">
        <f>51.98*0.25+0</f>
        <v>12.994999999999999</v>
      </c>
    </row>
    <row r="17" spans="1:11" s="51" customFormat="1" x14ac:dyDescent="0.25">
      <c r="A17" s="65"/>
      <c r="B17" s="8" t="s">
        <v>13</v>
      </c>
      <c r="C17" s="46" t="s">
        <v>48</v>
      </c>
      <c r="D17" s="46" t="s">
        <v>47</v>
      </c>
      <c r="E17" s="19">
        <v>55</v>
      </c>
      <c r="F17" s="7">
        <v>27.7</v>
      </c>
      <c r="G17" s="35">
        <f>132.2/75*55</f>
        <v>96.946666666666658</v>
      </c>
      <c r="H17" s="35">
        <f>9.5/75*55</f>
        <v>6.9666666666666677</v>
      </c>
      <c r="I17" s="35">
        <f>5.6/75*55</f>
        <v>4.1066666666666665</v>
      </c>
      <c r="J17" s="40">
        <f>10.9/75*55</f>
        <v>7.9933333333333341</v>
      </c>
      <c r="K17"/>
    </row>
    <row r="18" spans="1:11" s="51" customFormat="1" x14ac:dyDescent="0.25">
      <c r="A18" s="65"/>
      <c r="B18" s="8" t="s">
        <v>17</v>
      </c>
      <c r="C18" s="46" t="s">
        <v>63</v>
      </c>
      <c r="D18" s="48" t="s">
        <v>64</v>
      </c>
      <c r="E18" s="19">
        <v>120</v>
      </c>
      <c r="F18" s="7">
        <v>13.72</v>
      </c>
      <c r="G18" s="33">
        <f>89.4*1.2</f>
        <v>107.28</v>
      </c>
      <c r="H18" s="33">
        <f>1.7*1.2</f>
        <v>2.04</v>
      </c>
      <c r="I18" s="33">
        <f>3.5*1.2</f>
        <v>4.2</v>
      </c>
      <c r="J18" s="34">
        <f>12.8*1.2</f>
        <v>15.36</v>
      </c>
      <c r="K18"/>
    </row>
    <row r="19" spans="1:11" ht="15.75" x14ac:dyDescent="0.25">
      <c r="A19" s="65"/>
      <c r="B19" s="8" t="s">
        <v>49</v>
      </c>
      <c r="C19" s="46" t="s">
        <v>68</v>
      </c>
      <c r="D19" s="47" t="s">
        <v>69</v>
      </c>
      <c r="E19" s="19">
        <v>200</v>
      </c>
      <c r="F19" s="7">
        <v>6.28</v>
      </c>
      <c r="G19" s="7">
        <f>664*0.2</f>
        <v>132.80000000000001</v>
      </c>
      <c r="H19" s="31">
        <f>3.31*0.2</f>
        <v>0.66200000000000003</v>
      </c>
      <c r="I19" s="31">
        <f>0.45*0.2</f>
        <v>9.0000000000000011E-2</v>
      </c>
      <c r="J19" s="32">
        <f>160.07*0.2</f>
        <v>32.014000000000003</v>
      </c>
      <c r="K19"/>
    </row>
    <row r="20" spans="1:11" s="51" customFormat="1" x14ac:dyDescent="0.25">
      <c r="A20" s="65"/>
      <c r="B20" s="8" t="s">
        <v>21</v>
      </c>
      <c r="C20" s="46" t="s">
        <v>70</v>
      </c>
      <c r="D20" s="6" t="s">
        <v>71</v>
      </c>
      <c r="E20" s="19">
        <v>50</v>
      </c>
      <c r="F20" s="7">
        <v>3.87</v>
      </c>
      <c r="G20" s="35">
        <f>283*0.5</f>
        <v>141.5</v>
      </c>
      <c r="H20" s="35">
        <f>7.9*0.5</f>
        <v>3.95</v>
      </c>
      <c r="I20" s="35">
        <f>8.12*0.5</f>
        <v>4.0599999999999996</v>
      </c>
      <c r="J20" s="35">
        <f>44.48*0.5</f>
        <v>22.24</v>
      </c>
    </row>
    <row r="21" spans="1:11" s="51" customFormat="1" ht="15.75" thickBot="1" x14ac:dyDescent="0.3">
      <c r="A21" s="66"/>
      <c r="B21" s="10" t="s">
        <v>14</v>
      </c>
      <c r="C21" s="11" t="s">
        <v>32</v>
      </c>
      <c r="D21" s="11" t="s">
        <v>33</v>
      </c>
      <c r="E21" s="20">
        <v>18</v>
      </c>
      <c r="F21" s="21">
        <v>0.74</v>
      </c>
      <c r="G21" s="21">
        <f>229.7*0.18</f>
        <v>41.345999999999997</v>
      </c>
      <c r="H21" s="12">
        <f>6.7*0.18</f>
        <v>1.206</v>
      </c>
      <c r="I21" s="12">
        <f>1.1*0.18</f>
        <v>0.19800000000000001</v>
      </c>
      <c r="J21" s="13">
        <f>48.3*0.18</f>
        <v>8.6939999999999991</v>
      </c>
    </row>
    <row r="22" spans="1:11" ht="16.5" thickBot="1" x14ac:dyDescent="0.3">
      <c r="A22" s="58" t="s">
        <v>15</v>
      </c>
      <c r="B22" s="59"/>
      <c r="C22" s="59"/>
      <c r="D22" s="59"/>
      <c r="E22" s="60"/>
      <c r="F22" s="22">
        <f>SUM(F15:F21)</f>
        <v>69.5</v>
      </c>
      <c r="G22" s="22">
        <f t="shared" ref="G22:J22" si="2">SUM(G15:G21)</f>
        <v>682.13266666666664</v>
      </c>
      <c r="H22" s="22">
        <f t="shared" si="2"/>
        <v>19.844466666666669</v>
      </c>
      <c r="I22" s="22">
        <f t="shared" si="2"/>
        <v>20.391766666666665</v>
      </c>
      <c r="J22" s="22">
        <f t="shared" si="2"/>
        <v>101.88273333333333</v>
      </c>
      <c r="K22"/>
    </row>
    <row r="23" spans="1:11" s="50" customFormat="1" x14ac:dyDescent="0.25">
      <c r="A23" s="61" t="s">
        <v>30</v>
      </c>
      <c r="B23" s="23" t="s">
        <v>58</v>
      </c>
      <c r="C23" s="24" t="s">
        <v>40</v>
      </c>
      <c r="D23" s="24" t="s">
        <v>65</v>
      </c>
      <c r="E23" s="16">
        <v>200</v>
      </c>
      <c r="F23" s="17">
        <v>14.43</v>
      </c>
      <c r="G23" s="17">
        <v>84.8</v>
      </c>
      <c r="H23" s="17">
        <v>1</v>
      </c>
      <c r="I23" s="17">
        <v>0</v>
      </c>
      <c r="J23" s="18">
        <v>20.2</v>
      </c>
      <c r="K23"/>
    </row>
    <row r="24" spans="1:11" s="51" customFormat="1" x14ac:dyDescent="0.25">
      <c r="A24" s="62"/>
      <c r="B24" s="41" t="s">
        <v>41</v>
      </c>
      <c r="C24" s="42" t="s">
        <v>40</v>
      </c>
      <c r="D24" s="42" t="s">
        <v>60</v>
      </c>
      <c r="E24" s="90">
        <v>40</v>
      </c>
      <c r="F24" s="43">
        <v>5.16</v>
      </c>
      <c r="G24" s="44">
        <f>480*0.4</f>
        <v>192</v>
      </c>
      <c r="H24" s="44">
        <f>8.5*0.4</f>
        <v>3.4000000000000004</v>
      </c>
      <c r="I24" s="44">
        <f>18*0.4</f>
        <v>7.2</v>
      </c>
      <c r="J24" s="45">
        <f>70*0.4</f>
        <v>28</v>
      </c>
      <c r="K24"/>
    </row>
    <row r="25" spans="1:11" s="30" customFormat="1" ht="15.75" thickBot="1" x14ac:dyDescent="0.3">
      <c r="A25" s="62"/>
      <c r="B25" s="10" t="s">
        <v>42</v>
      </c>
      <c r="C25" s="11" t="s">
        <v>43</v>
      </c>
      <c r="D25" s="11" t="s">
        <v>44</v>
      </c>
      <c r="E25" s="20">
        <v>170</v>
      </c>
      <c r="F25" s="21">
        <v>25.41</v>
      </c>
      <c r="G25" s="21">
        <f>43*1.7</f>
        <v>73.099999999999994</v>
      </c>
      <c r="H25" s="21">
        <f>0.9*1.7</f>
        <v>1.53</v>
      </c>
      <c r="I25" s="21">
        <f>0.2*1.7</f>
        <v>0.34</v>
      </c>
      <c r="J25" s="25">
        <f>8.1*1.7</f>
        <v>13.77</v>
      </c>
    </row>
    <row r="26" spans="1:11" ht="16.5" thickBot="1" x14ac:dyDescent="0.3">
      <c r="A26" s="58" t="s">
        <v>15</v>
      </c>
      <c r="B26" s="67"/>
      <c r="C26" s="67"/>
      <c r="D26" s="67"/>
      <c r="E26" s="68"/>
      <c r="F26" s="3">
        <f>SUM(F23:F25)</f>
        <v>45</v>
      </c>
      <c r="G26" s="3">
        <f t="shared" ref="G26:J26" si="3">SUM(G23:G25)</f>
        <v>349.9</v>
      </c>
      <c r="H26" s="3">
        <f t="shared" si="3"/>
        <v>5.9300000000000006</v>
      </c>
      <c r="I26" s="3">
        <f t="shared" si="3"/>
        <v>7.54</v>
      </c>
      <c r="J26" s="3">
        <f t="shared" si="3"/>
        <v>61.97</v>
      </c>
      <c r="K26"/>
    </row>
    <row r="28" spans="1:11" ht="15.75" thickBot="1" x14ac:dyDescent="0.3">
      <c r="A28" s="56" t="s">
        <v>25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1" ht="15.75" x14ac:dyDescent="0.25">
      <c r="A29" s="27"/>
      <c r="B29" s="27"/>
      <c r="C29" s="55" t="s">
        <v>23</v>
      </c>
      <c r="D29" s="55"/>
      <c r="G29" s="57"/>
      <c r="H29" s="57"/>
      <c r="I29" s="57"/>
      <c r="J29" s="57"/>
    </row>
    <row r="30" spans="1:11" x14ac:dyDescent="0.25">
      <c r="A30" s="1"/>
      <c r="B30" s="1"/>
      <c r="C30" s="1"/>
      <c r="D30" s="1"/>
    </row>
    <row r="31" spans="1:11" x14ac:dyDescent="0.25">
      <c r="A31" s="64" t="s">
        <v>24</v>
      </c>
      <c r="B31" s="64"/>
    </row>
    <row r="32" spans="1:11" x14ac:dyDescent="0.25">
      <c r="A32" s="64" t="s">
        <v>26</v>
      </c>
      <c r="B32" s="64"/>
    </row>
    <row r="33" spans="1:1" x14ac:dyDescent="0.25">
      <c r="A33" s="4"/>
    </row>
    <row r="37" spans="1:1" customFormat="1" x14ac:dyDescent="0.25"/>
    <row r="38" spans="1:1" customFormat="1" x14ac:dyDescent="0.25"/>
    <row r="39" spans="1:1" customFormat="1" x14ac:dyDescent="0.25"/>
    <row r="40" spans="1:1" customFormat="1" x14ac:dyDescent="0.25"/>
  </sheetData>
  <mergeCells count="15">
    <mergeCell ref="A31:B31"/>
    <mergeCell ref="A32:B32"/>
    <mergeCell ref="A23:A25"/>
    <mergeCell ref="A26:E26"/>
    <mergeCell ref="A3:A7"/>
    <mergeCell ref="A15:A21"/>
    <mergeCell ref="B1:C1"/>
    <mergeCell ref="G1:J1"/>
    <mergeCell ref="C29:D29"/>
    <mergeCell ref="A28:J28"/>
    <mergeCell ref="G29:J29"/>
    <mergeCell ref="A8:E8"/>
    <mergeCell ref="A9:A13"/>
    <mergeCell ref="A14:E14"/>
    <mergeCell ref="A22:E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F3" sqref="F3:J30"/>
    </sheetView>
  </sheetViews>
  <sheetFormatPr defaultRowHeight="15" x14ac:dyDescent="0.25"/>
  <cols>
    <col min="1" max="1" width="33.42578125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74" t="s">
        <v>22</v>
      </c>
      <c r="C1" s="75"/>
      <c r="D1" s="1" t="s">
        <v>1</v>
      </c>
      <c r="E1" s="36"/>
      <c r="F1" s="1" t="s">
        <v>2</v>
      </c>
      <c r="G1" s="76">
        <v>44524</v>
      </c>
      <c r="H1" s="77"/>
      <c r="I1" s="77"/>
      <c r="J1" s="77"/>
      <c r="K1" s="1"/>
      <c r="L1" s="1"/>
    </row>
    <row r="2" spans="1:12" ht="15.75" thickBot="1" x14ac:dyDescent="0.3">
      <c r="A2" s="52" t="s">
        <v>3</v>
      </c>
      <c r="B2" s="37" t="s">
        <v>4</v>
      </c>
      <c r="C2" s="38" t="s">
        <v>5</v>
      </c>
      <c r="D2" s="38" t="s">
        <v>6</v>
      </c>
      <c r="E2" s="38" t="s">
        <v>7</v>
      </c>
      <c r="F2" s="38" t="s">
        <v>8</v>
      </c>
      <c r="G2" s="38" t="s">
        <v>9</v>
      </c>
      <c r="H2" s="38" t="s">
        <v>10</v>
      </c>
      <c r="I2" s="38" t="s">
        <v>11</v>
      </c>
      <c r="J2" s="39" t="s">
        <v>12</v>
      </c>
    </row>
    <row r="3" spans="1:12" ht="15" customHeight="1" x14ac:dyDescent="0.25">
      <c r="A3" s="84" t="s">
        <v>35</v>
      </c>
      <c r="B3" s="23" t="s">
        <v>13</v>
      </c>
      <c r="C3" s="24" t="s">
        <v>51</v>
      </c>
      <c r="D3" s="24" t="s">
        <v>52</v>
      </c>
      <c r="E3" s="16" t="s">
        <v>55</v>
      </c>
      <c r="F3" s="28">
        <v>23.77</v>
      </c>
      <c r="G3" s="28">
        <f>309*0.6</f>
        <v>185.4</v>
      </c>
      <c r="H3" s="28">
        <f>10.64*0.6</f>
        <v>6.3840000000000003</v>
      </c>
      <c r="I3" s="28">
        <f>28.19*0.6</f>
        <v>16.914000000000001</v>
      </c>
      <c r="J3" s="29">
        <f>2.89*0.6</f>
        <v>1.734</v>
      </c>
    </row>
    <row r="4" spans="1:12" x14ac:dyDescent="0.25">
      <c r="A4" s="84"/>
      <c r="B4" s="8" t="s">
        <v>17</v>
      </c>
      <c r="C4" s="46" t="s">
        <v>56</v>
      </c>
      <c r="D4" s="48" t="s">
        <v>57</v>
      </c>
      <c r="E4" s="19">
        <v>110</v>
      </c>
      <c r="F4" s="35">
        <v>8.3699999999999992</v>
      </c>
      <c r="G4" s="33">
        <f>1398*0.11</f>
        <v>153.78</v>
      </c>
      <c r="H4" s="33">
        <f>24.34*0.11</f>
        <v>2.6774</v>
      </c>
      <c r="I4" s="33">
        <f>35.83*0.11</f>
        <v>3.9413</v>
      </c>
      <c r="J4" s="34">
        <f>244.56*0.11</f>
        <v>26.901600000000002</v>
      </c>
    </row>
    <row r="5" spans="1:12" s="50" customFormat="1" x14ac:dyDescent="0.25">
      <c r="A5" s="84"/>
      <c r="B5" s="8" t="s">
        <v>58</v>
      </c>
      <c r="C5" s="46" t="s">
        <v>40</v>
      </c>
      <c r="D5" s="6" t="s">
        <v>59</v>
      </c>
      <c r="E5" s="19">
        <v>200</v>
      </c>
      <c r="F5" s="35">
        <v>34.299999999999997</v>
      </c>
      <c r="G5" s="35">
        <v>160</v>
      </c>
      <c r="H5" s="35">
        <v>5</v>
      </c>
      <c r="I5" s="35">
        <v>6.2</v>
      </c>
      <c r="J5" s="40">
        <v>22</v>
      </c>
    </row>
    <row r="6" spans="1:12" s="49" customFormat="1" x14ac:dyDescent="0.25">
      <c r="A6" s="84"/>
      <c r="B6" s="41" t="s">
        <v>41</v>
      </c>
      <c r="C6" s="42" t="s">
        <v>40</v>
      </c>
      <c r="D6" s="42" t="s">
        <v>60</v>
      </c>
      <c r="E6" s="90">
        <v>20</v>
      </c>
      <c r="F6" s="91">
        <v>2.58</v>
      </c>
      <c r="G6" s="44">
        <f>480*0.2</f>
        <v>96</v>
      </c>
      <c r="H6" s="44">
        <f>8.5*0.2</f>
        <v>1.7000000000000002</v>
      </c>
      <c r="I6" s="44">
        <f>18*0.2</f>
        <v>3.6</v>
      </c>
      <c r="J6" s="45">
        <f>70*0.2</f>
        <v>14</v>
      </c>
    </row>
    <row r="7" spans="1:12" s="30" customFormat="1" ht="15.75" thickBot="1" x14ac:dyDescent="0.3">
      <c r="A7" s="84"/>
      <c r="B7" s="10" t="s">
        <v>14</v>
      </c>
      <c r="C7" s="11" t="s">
        <v>32</v>
      </c>
      <c r="D7" s="11" t="s">
        <v>33</v>
      </c>
      <c r="E7" s="20">
        <v>12</v>
      </c>
      <c r="F7" s="92">
        <v>0.48</v>
      </c>
      <c r="G7" s="92">
        <f>229.7*0.12</f>
        <v>27.563999999999997</v>
      </c>
      <c r="H7" s="93">
        <f>6.7*0.12</f>
        <v>0.80399999999999994</v>
      </c>
      <c r="I7" s="93">
        <f>1.1*0.12</f>
        <v>0.13200000000000001</v>
      </c>
      <c r="J7" s="94">
        <f>48.3*0.12</f>
        <v>5.7959999999999994</v>
      </c>
    </row>
    <row r="8" spans="1:12" ht="16.5" thickBot="1" x14ac:dyDescent="0.3">
      <c r="A8" s="78" t="s">
        <v>15</v>
      </c>
      <c r="B8" s="59"/>
      <c r="C8" s="59"/>
      <c r="D8" s="59"/>
      <c r="E8" s="60"/>
      <c r="F8" s="95">
        <f>SUM(F3:F7)</f>
        <v>69.5</v>
      </c>
      <c r="G8" s="95">
        <f>SUM(G3:G7)</f>
        <v>622.74400000000003</v>
      </c>
      <c r="H8" s="95">
        <f>SUM(H3:H7)</f>
        <v>16.5654</v>
      </c>
      <c r="I8" s="95">
        <f>SUM(I3:I7)</f>
        <v>30.787300000000002</v>
      </c>
      <c r="J8" s="95">
        <f>SUM(J3:J7)</f>
        <v>70.431600000000003</v>
      </c>
    </row>
    <row r="9" spans="1:12" s="49" customFormat="1" x14ac:dyDescent="0.25">
      <c r="A9" s="70" t="s">
        <v>36</v>
      </c>
      <c r="B9" s="23" t="s">
        <v>13</v>
      </c>
      <c r="C9" s="24" t="s">
        <v>51</v>
      </c>
      <c r="D9" s="24" t="s">
        <v>52</v>
      </c>
      <c r="E9" s="16" t="s">
        <v>72</v>
      </c>
      <c r="F9" s="28">
        <v>15.85</v>
      </c>
      <c r="G9" s="28">
        <f>309*0.4</f>
        <v>123.60000000000001</v>
      </c>
      <c r="H9" s="28">
        <f>10.64*0.4</f>
        <v>4.2560000000000002</v>
      </c>
      <c r="I9" s="28">
        <f>28.19*0.4</f>
        <v>11.276000000000002</v>
      </c>
      <c r="J9" s="29">
        <f>2.89*0.4</f>
        <v>1.1560000000000001</v>
      </c>
    </row>
    <row r="10" spans="1:12" s="51" customFormat="1" x14ac:dyDescent="0.25">
      <c r="A10" s="71"/>
      <c r="B10" s="8" t="s">
        <v>17</v>
      </c>
      <c r="C10" s="46" t="s">
        <v>56</v>
      </c>
      <c r="D10" s="48" t="s">
        <v>57</v>
      </c>
      <c r="E10" s="19">
        <v>100</v>
      </c>
      <c r="F10" s="35">
        <v>7.6</v>
      </c>
      <c r="G10" s="33">
        <f>1398*0.1</f>
        <v>139.80000000000001</v>
      </c>
      <c r="H10" s="33">
        <f>24.34*0.1</f>
        <v>2.4340000000000002</v>
      </c>
      <c r="I10" s="33">
        <f>35.83*0.1</f>
        <v>3.5830000000000002</v>
      </c>
      <c r="J10" s="34">
        <f>244.56*0.1</f>
        <v>24.456000000000003</v>
      </c>
    </row>
    <row r="11" spans="1:12" s="49" customFormat="1" x14ac:dyDescent="0.25">
      <c r="A11" s="71"/>
      <c r="B11" s="8" t="s">
        <v>18</v>
      </c>
      <c r="C11" s="6" t="s">
        <v>19</v>
      </c>
      <c r="D11" s="6" t="s">
        <v>20</v>
      </c>
      <c r="E11" s="19" t="s">
        <v>34</v>
      </c>
      <c r="F11" s="35">
        <v>2.63</v>
      </c>
      <c r="G11" s="35">
        <v>60</v>
      </c>
      <c r="H11" s="35">
        <v>7.0000000000000007E-2</v>
      </c>
      <c r="I11" s="35">
        <v>0.02</v>
      </c>
      <c r="J11" s="40">
        <v>15</v>
      </c>
    </row>
    <row r="12" spans="1:12" s="50" customFormat="1" ht="15.75" thickBot="1" x14ac:dyDescent="0.3">
      <c r="A12" s="72"/>
      <c r="B12" s="10" t="s">
        <v>14</v>
      </c>
      <c r="C12" s="11" t="s">
        <v>32</v>
      </c>
      <c r="D12" s="11" t="s">
        <v>33</v>
      </c>
      <c r="E12" s="20">
        <v>22.5</v>
      </c>
      <c r="F12" s="92">
        <v>0.92</v>
      </c>
      <c r="G12" s="92">
        <f>229.7*0.225</f>
        <v>51.682499999999997</v>
      </c>
      <c r="H12" s="93">
        <f>6.7*0.225</f>
        <v>1.5075000000000001</v>
      </c>
      <c r="I12" s="93">
        <f>1.1*0.225</f>
        <v>0.24750000000000003</v>
      </c>
      <c r="J12" s="94">
        <f>48.3*0.225</f>
        <v>10.8675</v>
      </c>
    </row>
    <row r="13" spans="1:12" ht="16.5" thickBot="1" x14ac:dyDescent="0.3">
      <c r="A13" s="73" t="s">
        <v>15</v>
      </c>
      <c r="B13" s="59"/>
      <c r="C13" s="59"/>
      <c r="D13" s="59"/>
      <c r="E13" s="60"/>
      <c r="F13" s="95">
        <f>SUM(F9:F12)</f>
        <v>27</v>
      </c>
      <c r="G13" s="95">
        <f t="shared" ref="G13:J13" si="0">SUM(G9:G12)</f>
        <v>375.08250000000004</v>
      </c>
      <c r="H13" s="95">
        <f t="shared" si="0"/>
        <v>8.2675000000000001</v>
      </c>
      <c r="I13" s="95">
        <f t="shared" si="0"/>
        <v>15.126500000000002</v>
      </c>
      <c r="J13" s="95">
        <f t="shared" si="0"/>
        <v>51.479500000000002</v>
      </c>
    </row>
    <row r="14" spans="1:12" x14ac:dyDescent="0.25">
      <c r="A14" s="70" t="s">
        <v>38</v>
      </c>
      <c r="B14" s="14" t="s">
        <v>31</v>
      </c>
      <c r="C14" s="15" t="s">
        <v>53</v>
      </c>
      <c r="D14" s="15" t="s">
        <v>54</v>
      </c>
      <c r="E14" s="26" t="s">
        <v>73</v>
      </c>
      <c r="F14" s="28">
        <v>4.37</v>
      </c>
      <c r="G14" s="28">
        <f>660*0.035+280*0.235</f>
        <v>88.9</v>
      </c>
      <c r="H14" s="28">
        <f>0.8*0.035+8*0.235</f>
        <v>1.9079999999999999</v>
      </c>
      <c r="I14" s="28">
        <f>72.5*0.035+3*0.235</f>
        <v>3.2425000000000002</v>
      </c>
      <c r="J14" s="29">
        <f>1.3*0.035+54*0.235</f>
        <v>12.7355</v>
      </c>
    </row>
    <row r="15" spans="1:12" ht="15.75" thickBot="1" x14ac:dyDescent="0.3">
      <c r="A15" s="72"/>
      <c r="B15" s="10" t="s">
        <v>18</v>
      </c>
      <c r="C15" s="11" t="s">
        <v>19</v>
      </c>
      <c r="D15" s="11" t="s">
        <v>20</v>
      </c>
      <c r="E15" s="20" t="s">
        <v>34</v>
      </c>
      <c r="F15" s="92">
        <v>2.63</v>
      </c>
      <c r="G15" s="92">
        <v>60</v>
      </c>
      <c r="H15" s="92">
        <v>7.0000000000000007E-2</v>
      </c>
      <c r="I15" s="92">
        <v>0.02</v>
      </c>
      <c r="J15" s="96">
        <v>15</v>
      </c>
    </row>
    <row r="16" spans="1:12" ht="16.5" thickBot="1" x14ac:dyDescent="0.3">
      <c r="A16" s="79" t="s">
        <v>15</v>
      </c>
      <c r="B16" s="59"/>
      <c r="C16" s="59"/>
      <c r="D16" s="59"/>
      <c r="E16" s="60"/>
      <c r="F16" s="95">
        <f>SUM(F14:F15)</f>
        <v>7</v>
      </c>
      <c r="G16" s="95">
        <f t="shared" ref="G16:J16" si="1">SUM(G14:G15)</f>
        <v>148.9</v>
      </c>
      <c r="H16" s="95">
        <f t="shared" si="1"/>
        <v>1.978</v>
      </c>
      <c r="I16" s="95">
        <f t="shared" si="1"/>
        <v>3.2625000000000002</v>
      </c>
      <c r="J16" s="95">
        <f t="shared" si="1"/>
        <v>27.735500000000002</v>
      </c>
    </row>
    <row r="17" spans="1:10" x14ac:dyDescent="0.25">
      <c r="A17" s="61" t="s">
        <v>37</v>
      </c>
      <c r="B17" s="23" t="s">
        <v>16</v>
      </c>
      <c r="C17" s="24" t="s">
        <v>45</v>
      </c>
      <c r="D17" s="24" t="s">
        <v>61</v>
      </c>
      <c r="E17" s="16" t="s">
        <v>62</v>
      </c>
      <c r="F17" s="28">
        <v>6.14</v>
      </c>
      <c r="G17" s="28">
        <f>468*0.25</f>
        <v>117</v>
      </c>
      <c r="H17" s="28">
        <f>9.54*0.25</f>
        <v>2.3849999999999998</v>
      </c>
      <c r="I17" s="28">
        <f>20.31*0.25</f>
        <v>5.0774999999999997</v>
      </c>
      <c r="J17" s="29">
        <f>51.98*0.25</f>
        <v>12.994999999999999</v>
      </c>
    </row>
    <row r="18" spans="1:10" x14ac:dyDescent="0.25">
      <c r="A18" s="62"/>
      <c r="B18" s="8" t="s">
        <v>13</v>
      </c>
      <c r="C18" s="46" t="s">
        <v>48</v>
      </c>
      <c r="D18" s="46" t="s">
        <v>47</v>
      </c>
      <c r="E18" s="19">
        <v>47</v>
      </c>
      <c r="F18" s="35">
        <v>23.67</v>
      </c>
      <c r="G18" s="35">
        <f>132.2/75*47</f>
        <v>82.845333333333329</v>
      </c>
      <c r="H18" s="35">
        <f>9.5/75*47</f>
        <v>5.953333333333334</v>
      </c>
      <c r="I18" s="35">
        <f>5.6/75*47</f>
        <v>3.5093333333333332</v>
      </c>
      <c r="J18" s="40">
        <f>10.9/75*47</f>
        <v>6.8306666666666667</v>
      </c>
    </row>
    <row r="19" spans="1:10" x14ac:dyDescent="0.25">
      <c r="A19" s="62"/>
      <c r="B19" s="8" t="s">
        <v>17</v>
      </c>
      <c r="C19" s="46" t="s">
        <v>63</v>
      </c>
      <c r="D19" s="48" t="s">
        <v>64</v>
      </c>
      <c r="E19" s="19">
        <v>100</v>
      </c>
      <c r="F19" s="35">
        <v>11.43</v>
      </c>
      <c r="G19" s="33">
        <f>89.4</f>
        <v>89.4</v>
      </c>
      <c r="H19" s="33">
        <f>1.7</f>
        <v>1.7</v>
      </c>
      <c r="I19" s="33">
        <f>3.5</f>
        <v>3.5</v>
      </c>
      <c r="J19" s="34">
        <f>12.8</f>
        <v>12.8</v>
      </c>
    </row>
    <row r="20" spans="1:10" x14ac:dyDescent="0.25">
      <c r="A20" s="62"/>
      <c r="B20" s="8" t="s">
        <v>18</v>
      </c>
      <c r="C20" s="6" t="s">
        <v>19</v>
      </c>
      <c r="D20" s="6" t="s">
        <v>20</v>
      </c>
      <c r="E20" s="19" t="s">
        <v>34</v>
      </c>
      <c r="F20" s="35">
        <v>2.63</v>
      </c>
      <c r="G20" s="35">
        <v>60</v>
      </c>
      <c r="H20" s="35">
        <v>7.0000000000000007E-2</v>
      </c>
      <c r="I20" s="35">
        <v>0.02</v>
      </c>
      <c r="J20" s="40">
        <v>15</v>
      </c>
    </row>
    <row r="21" spans="1:10" ht="15.75" thickBot="1" x14ac:dyDescent="0.3">
      <c r="A21" s="62"/>
      <c r="B21" s="10" t="s">
        <v>14</v>
      </c>
      <c r="C21" s="11" t="s">
        <v>32</v>
      </c>
      <c r="D21" s="11" t="s">
        <v>33</v>
      </c>
      <c r="E21" s="20">
        <v>27.5</v>
      </c>
      <c r="F21" s="92">
        <v>1.1299999999999999</v>
      </c>
      <c r="G21" s="92">
        <f>229.7*0.275</f>
        <v>63.167500000000004</v>
      </c>
      <c r="H21" s="93">
        <f>6.7*0.275</f>
        <v>1.8425000000000002</v>
      </c>
      <c r="I21" s="93">
        <f>1.1*0.275</f>
        <v>0.30250000000000005</v>
      </c>
      <c r="J21" s="94">
        <f>48.3*0.275</f>
        <v>13.282500000000001</v>
      </c>
    </row>
    <row r="22" spans="1:10" ht="16.5" thickBot="1" x14ac:dyDescent="0.3">
      <c r="A22" s="63" t="s">
        <v>15</v>
      </c>
      <c r="B22" s="81"/>
      <c r="C22" s="81"/>
      <c r="D22" s="81"/>
      <c r="E22" s="82"/>
      <c r="F22" s="97">
        <f>SUM(F17:F21)</f>
        <v>45.000000000000007</v>
      </c>
      <c r="G22" s="97">
        <f t="shared" ref="G22:J22" si="2">SUM(G17:G21)</f>
        <v>412.41283333333331</v>
      </c>
      <c r="H22" s="97">
        <f t="shared" si="2"/>
        <v>11.950833333333335</v>
      </c>
      <c r="I22" s="97">
        <f t="shared" si="2"/>
        <v>12.409333333333333</v>
      </c>
      <c r="J22" s="97">
        <f t="shared" si="2"/>
        <v>60.908166666666666</v>
      </c>
    </row>
    <row r="23" spans="1:10" x14ac:dyDescent="0.25">
      <c r="A23" s="80" t="s">
        <v>39</v>
      </c>
      <c r="B23" s="14" t="s">
        <v>31</v>
      </c>
      <c r="C23" s="15" t="s">
        <v>66</v>
      </c>
      <c r="D23" s="15" t="s">
        <v>67</v>
      </c>
      <c r="E23" s="16">
        <v>40</v>
      </c>
      <c r="F23" s="28">
        <v>3.41</v>
      </c>
      <c r="G23" s="28">
        <f>604*0.04</f>
        <v>24.16</v>
      </c>
      <c r="H23" s="28">
        <f>13.12*0.04</f>
        <v>0.52479999999999993</v>
      </c>
      <c r="I23" s="28">
        <f>32.49*0.04</f>
        <v>1.2996000000000001</v>
      </c>
      <c r="J23" s="29">
        <f>64.66*0.04</f>
        <v>2.5863999999999998</v>
      </c>
    </row>
    <row r="24" spans="1:10" s="51" customFormat="1" ht="30" x14ac:dyDescent="0.25">
      <c r="A24" s="80"/>
      <c r="B24" s="8" t="s">
        <v>16</v>
      </c>
      <c r="C24" s="6" t="s">
        <v>45</v>
      </c>
      <c r="D24" s="6" t="s">
        <v>46</v>
      </c>
      <c r="E24" s="19" t="s">
        <v>50</v>
      </c>
      <c r="F24" s="35">
        <v>13.78</v>
      </c>
      <c r="G24" s="35">
        <f>468*0.25+211*0.1</f>
        <v>138.1</v>
      </c>
      <c r="H24" s="35">
        <f>9.54*0.25+21.1*0.1</f>
        <v>4.4950000000000001</v>
      </c>
      <c r="I24" s="35">
        <f>20.31*0.25+13.6*0.1</f>
        <v>6.4375</v>
      </c>
      <c r="J24" s="40">
        <f>51.98*0.25+0</f>
        <v>12.994999999999999</v>
      </c>
    </row>
    <row r="25" spans="1:10" s="51" customFormat="1" x14ac:dyDescent="0.25">
      <c r="A25" s="80"/>
      <c r="B25" s="8" t="s">
        <v>13</v>
      </c>
      <c r="C25" s="46" t="s">
        <v>48</v>
      </c>
      <c r="D25" s="46" t="s">
        <v>47</v>
      </c>
      <c r="E25" s="19">
        <v>55</v>
      </c>
      <c r="F25" s="35">
        <v>27.7</v>
      </c>
      <c r="G25" s="35">
        <f>132.2/75*55</f>
        <v>96.946666666666658</v>
      </c>
      <c r="H25" s="35">
        <f>9.5/75*55</f>
        <v>6.9666666666666677</v>
      </c>
      <c r="I25" s="35">
        <f>5.6/75*55</f>
        <v>4.1066666666666665</v>
      </c>
      <c r="J25" s="40">
        <f>10.9/75*55</f>
        <v>7.9933333333333341</v>
      </c>
    </row>
    <row r="26" spans="1:10" x14ac:dyDescent="0.25">
      <c r="A26" s="80"/>
      <c r="B26" s="8" t="s">
        <v>17</v>
      </c>
      <c r="C26" s="46" t="s">
        <v>63</v>
      </c>
      <c r="D26" s="48" t="s">
        <v>64</v>
      </c>
      <c r="E26" s="19">
        <v>120</v>
      </c>
      <c r="F26" s="35">
        <v>13.72</v>
      </c>
      <c r="G26" s="33">
        <f>89.4*1.2</f>
        <v>107.28</v>
      </c>
      <c r="H26" s="33">
        <f>1.7*1.2</f>
        <v>2.04</v>
      </c>
      <c r="I26" s="33">
        <f>3.5*1.2</f>
        <v>4.2</v>
      </c>
      <c r="J26" s="34">
        <f>12.8*1.2</f>
        <v>15.36</v>
      </c>
    </row>
    <row r="27" spans="1:10" ht="15.75" x14ac:dyDescent="0.25">
      <c r="A27" s="80"/>
      <c r="B27" s="8" t="s">
        <v>49</v>
      </c>
      <c r="C27" s="46" t="s">
        <v>68</v>
      </c>
      <c r="D27" s="47" t="s">
        <v>69</v>
      </c>
      <c r="E27" s="19">
        <v>200</v>
      </c>
      <c r="F27" s="35">
        <v>6.28</v>
      </c>
      <c r="G27" s="35">
        <f>664*0.2</f>
        <v>132.80000000000001</v>
      </c>
      <c r="H27" s="33">
        <f>3.31*0.2</f>
        <v>0.66200000000000003</v>
      </c>
      <c r="I27" s="33">
        <f>0.45*0.2</f>
        <v>9.0000000000000011E-2</v>
      </c>
      <c r="J27" s="34">
        <f>160.07*0.2</f>
        <v>32.014000000000003</v>
      </c>
    </row>
    <row r="28" spans="1:10" x14ac:dyDescent="0.25">
      <c r="A28" s="80"/>
      <c r="B28" s="8" t="s">
        <v>21</v>
      </c>
      <c r="C28" s="46" t="s">
        <v>70</v>
      </c>
      <c r="D28" s="6" t="s">
        <v>71</v>
      </c>
      <c r="E28" s="19">
        <v>50</v>
      </c>
      <c r="F28" s="35">
        <v>3.87</v>
      </c>
      <c r="G28" s="35">
        <f>283*0.5</f>
        <v>141.5</v>
      </c>
      <c r="H28" s="35">
        <f>7.9*0.5</f>
        <v>3.95</v>
      </c>
      <c r="I28" s="35">
        <f>8.12*0.5</f>
        <v>4.0599999999999996</v>
      </c>
      <c r="J28" s="35">
        <f>44.48*0.5</f>
        <v>22.24</v>
      </c>
    </row>
    <row r="29" spans="1:10" ht="15.75" thickBot="1" x14ac:dyDescent="0.3">
      <c r="A29" s="80"/>
      <c r="B29" s="10" t="s">
        <v>14</v>
      </c>
      <c r="C29" s="11" t="s">
        <v>32</v>
      </c>
      <c r="D29" s="11" t="s">
        <v>33</v>
      </c>
      <c r="E29" s="20">
        <v>18</v>
      </c>
      <c r="F29" s="92">
        <v>0.74</v>
      </c>
      <c r="G29" s="92">
        <f>229.7*0.18</f>
        <v>41.345999999999997</v>
      </c>
      <c r="H29" s="93">
        <f>6.7*0.18</f>
        <v>1.206</v>
      </c>
      <c r="I29" s="93">
        <f>1.1*0.18</f>
        <v>0.19800000000000001</v>
      </c>
      <c r="J29" s="94">
        <f>48.3*0.18</f>
        <v>8.6939999999999991</v>
      </c>
    </row>
    <row r="30" spans="1:10" ht="16.5" thickBot="1" x14ac:dyDescent="0.3">
      <c r="A30" s="63" t="s">
        <v>15</v>
      </c>
      <c r="B30" s="81"/>
      <c r="C30" s="81"/>
      <c r="D30" s="81"/>
      <c r="E30" s="82"/>
      <c r="F30" s="97">
        <f>SUM(F23:F29)</f>
        <v>69.5</v>
      </c>
      <c r="G30" s="97">
        <f>SUM(G23:G29)</f>
        <v>682.13266666666664</v>
      </c>
      <c r="H30" s="97">
        <f>SUM(H23:H29)</f>
        <v>19.844466666666669</v>
      </c>
      <c r="I30" s="97">
        <f>SUM(I23:I29)</f>
        <v>20.391766666666665</v>
      </c>
      <c r="J30" s="97">
        <f>SUM(J23:J29)</f>
        <v>101.88273333333333</v>
      </c>
    </row>
    <row r="32" spans="1:10" ht="15.75" thickBot="1" x14ac:dyDescent="0.3">
      <c r="A32" s="56" t="s">
        <v>25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5.75" x14ac:dyDescent="0.25">
      <c r="A33" s="27"/>
      <c r="B33" s="27"/>
      <c r="C33" s="55" t="s">
        <v>23</v>
      </c>
      <c r="D33" s="55"/>
      <c r="G33" s="57"/>
      <c r="H33" s="57"/>
      <c r="I33" s="57"/>
      <c r="J33" s="57"/>
    </row>
    <row r="34" spans="1:10" x14ac:dyDescent="0.25">
      <c r="A34" s="1"/>
      <c r="B34" s="1"/>
      <c r="C34" s="1"/>
      <c r="D34" s="1"/>
    </row>
    <row r="35" spans="1:10" x14ac:dyDescent="0.25">
      <c r="A35" s="64" t="s">
        <v>24</v>
      </c>
      <c r="B35" s="64"/>
    </row>
    <row r="36" spans="1:10" x14ac:dyDescent="0.25">
      <c r="A36" s="64" t="s">
        <v>26</v>
      </c>
      <c r="B36" s="64"/>
    </row>
    <row r="37" spans="1:10" x14ac:dyDescent="0.25">
      <c r="A37" s="4"/>
    </row>
  </sheetData>
  <mergeCells count="17">
    <mergeCell ref="A35:B35"/>
    <mergeCell ref="A36:B36"/>
    <mergeCell ref="A14:A15"/>
    <mergeCell ref="A16:E16"/>
    <mergeCell ref="A23:A29"/>
    <mergeCell ref="A30:E30"/>
    <mergeCell ref="A32:J32"/>
    <mergeCell ref="C33:D33"/>
    <mergeCell ref="G33:J33"/>
    <mergeCell ref="A22:E22"/>
    <mergeCell ref="A17:A21"/>
    <mergeCell ref="A9:A12"/>
    <mergeCell ref="A13:E13"/>
    <mergeCell ref="B1:C1"/>
    <mergeCell ref="G1:J1"/>
    <mergeCell ref="A3:A7"/>
    <mergeCell ref="A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24.11 1-4 кл</vt:lpstr>
      <vt:lpstr>24.11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2021-11-23T10:46:57Z</dcterms:modified>
</cp:coreProperties>
</file>