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02.12 1-4 кл" sheetId="1" r:id="rId1"/>
    <sheet name="02.1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H14" i="2"/>
  <c r="G14" i="2"/>
  <c r="I14" i="2"/>
  <c r="J16" i="2"/>
  <c r="H16" i="2"/>
  <c r="J10" i="2"/>
  <c r="I10" i="2"/>
  <c r="H10" i="2"/>
  <c r="G10" i="2"/>
  <c r="J12" i="2"/>
  <c r="I12" i="2"/>
  <c r="H12" i="2"/>
  <c r="G12" i="2"/>
  <c r="F16" i="2"/>
  <c r="I16" i="2"/>
  <c r="G16" i="2"/>
  <c r="F13" i="2"/>
  <c r="J13" i="2"/>
  <c r="I13" i="2"/>
  <c r="H13" i="2"/>
  <c r="G13" i="2"/>
  <c r="F29" i="2"/>
  <c r="J28" i="2"/>
  <c r="I28" i="2"/>
  <c r="H28" i="2"/>
  <c r="G28" i="2"/>
  <c r="J25" i="2"/>
  <c r="I25" i="2"/>
  <c r="H25" i="2"/>
  <c r="G25" i="2"/>
  <c r="J24" i="2"/>
  <c r="I24" i="2"/>
  <c r="H24" i="2"/>
  <c r="G24" i="2"/>
  <c r="J23" i="2"/>
  <c r="J29" i="2" s="1"/>
  <c r="I23" i="2"/>
  <c r="I29" i="2" s="1"/>
  <c r="H23" i="2"/>
  <c r="H29" i="2" s="1"/>
  <c r="G23" i="2"/>
  <c r="G29" i="2" s="1"/>
  <c r="F22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J22" i="2" s="1"/>
  <c r="I17" i="2"/>
  <c r="I22" i="2" s="1"/>
  <c r="H17" i="2"/>
  <c r="H22" i="2" s="1"/>
  <c r="G17" i="2"/>
  <c r="G22" i="2" s="1"/>
  <c r="F9" i="2"/>
  <c r="J8" i="2"/>
  <c r="I8" i="2"/>
  <c r="H8" i="2"/>
  <c r="G8" i="2"/>
  <c r="J7" i="2"/>
  <c r="I7" i="2"/>
  <c r="H7" i="2"/>
  <c r="G7" i="2"/>
  <c r="J5" i="2"/>
  <c r="I5" i="2"/>
  <c r="H5" i="2"/>
  <c r="G5" i="2"/>
  <c r="J4" i="2"/>
  <c r="I4" i="2"/>
  <c r="H4" i="2"/>
  <c r="G4" i="2"/>
  <c r="J3" i="2"/>
  <c r="J9" i="2" s="1"/>
  <c r="I3" i="2"/>
  <c r="I9" i="2" s="1"/>
  <c r="H3" i="2"/>
  <c r="H9" i="2" s="1"/>
  <c r="G3" i="2"/>
  <c r="G9" i="2" s="1"/>
  <c r="J25" i="1"/>
  <c r="I25" i="1"/>
  <c r="H25" i="1"/>
  <c r="G25" i="1"/>
  <c r="J24" i="1"/>
  <c r="I24" i="1" l="1"/>
  <c r="H24" i="1"/>
  <c r="G24" i="1" l="1"/>
  <c r="G22" i="1"/>
  <c r="H22" i="1"/>
  <c r="I22" i="1"/>
  <c r="J22" i="1"/>
  <c r="G21" i="1" l="1"/>
  <c r="H21" i="1"/>
  <c r="I21" i="1"/>
  <c r="J21" i="1"/>
  <c r="J16" i="1"/>
  <c r="I16" i="1"/>
  <c r="H16" i="1"/>
  <c r="G16" i="1"/>
  <c r="F22" i="1"/>
  <c r="J18" i="1" l="1"/>
  <c r="I18" i="1"/>
  <c r="H18" i="1"/>
  <c r="G18" i="1"/>
  <c r="J14" i="1"/>
  <c r="I14" i="1"/>
  <c r="H14" i="1"/>
  <c r="G14" i="1"/>
  <c r="J17" i="1"/>
  <c r="I17" i="1"/>
  <c r="H17" i="1"/>
  <c r="G17" i="1"/>
  <c r="J11" i="1"/>
  <c r="I11" i="1"/>
  <c r="H11" i="1"/>
  <c r="G11" i="1"/>
  <c r="J8" i="1"/>
  <c r="I8" i="1"/>
  <c r="H8" i="1"/>
  <c r="G8" i="1"/>
  <c r="J3" i="1"/>
  <c r="I3" i="1"/>
  <c r="H3" i="1"/>
  <c r="G3" i="1"/>
  <c r="J12" i="1" l="1"/>
  <c r="I12" i="1"/>
  <c r="H12" i="1"/>
  <c r="G12" i="1"/>
  <c r="J10" i="1"/>
  <c r="I10" i="1"/>
  <c r="H10" i="1"/>
  <c r="G10" i="1"/>
  <c r="F26" i="1" l="1"/>
  <c r="J23" i="1"/>
  <c r="J26" i="1" s="1"/>
  <c r="I23" i="1"/>
  <c r="I26" i="1" s="1"/>
  <c r="H23" i="1"/>
  <c r="H26" i="1" s="1"/>
  <c r="G23" i="1"/>
  <c r="G26" i="1" s="1"/>
  <c r="J5" i="1" l="1"/>
  <c r="I5" i="1"/>
  <c r="H5" i="1"/>
  <c r="G5" i="1"/>
  <c r="F15" i="1" l="1"/>
  <c r="J15" i="1"/>
  <c r="I15" i="1"/>
  <c r="H15" i="1"/>
  <c r="G15" i="1"/>
  <c r="F9" i="1"/>
  <c r="J7" i="1"/>
  <c r="I7" i="1"/>
  <c r="H7" i="1"/>
  <c r="G7" i="1"/>
  <c r="J4" i="1" l="1"/>
  <c r="I4" i="1"/>
  <c r="H4" i="1"/>
  <c r="G4" i="1"/>
  <c r="J9" i="1"/>
  <c r="I9" i="1"/>
  <c r="H9" i="1"/>
  <c r="G9" i="1"/>
</calcChain>
</file>

<file path=xl/sharedStrings.xml><?xml version="1.0" encoding="utf-8"?>
<sst xmlns="http://schemas.openxmlformats.org/spreadsheetml/2006/main" count="196" uniqueCount="75">
  <si>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</si>
  <si>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</si>
  <si>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</si>
  <si>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</si>
  <si>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</si>
  <si>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</si>
  <si>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</si>
  <si>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</si>
  <si>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</si>
  <si>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</si>
  <si>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</si>
  <si>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</si>
  <si>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</si>
  <si>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</si>
  <si>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</si>
  <si>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</si>
  <si>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</si>
  <si>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</si>
  <si>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</si>
  <si>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</si>
  <si>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</si>
  <si>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</si>
  <si>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</si>
  <si>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</si>
  <si>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</si>
  <si>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</si>
  <si>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</si>
  <si>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</si>
  <si>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</si>
  <si>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</si>
  <si>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</si>
  <si>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</si>
  <si>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</si>
  <si>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</si>
  <si>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</si>
  <si>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ПР</t>
  </si>
  <si>
    <t>Кондитерское изделие</t>
  </si>
  <si>
    <t>№71-2015г.</t>
  </si>
  <si>
    <t>№250-2015г.</t>
  </si>
  <si>
    <t>Бефстроганов</t>
  </si>
  <si>
    <t>30/30</t>
  </si>
  <si>
    <t>№302-2015г.</t>
  </si>
  <si>
    <t>Каша рассыпчатая гречневая</t>
  </si>
  <si>
    <t>№422-2015г.</t>
  </si>
  <si>
    <t>Булочка ванильная</t>
  </si>
  <si>
    <t>№111-2015г.</t>
  </si>
  <si>
    <t>Напиток</t>
  </si>
  <si>
    <t>№389-2015г.</t>
  </si>
  <si>
    <t>Сок фруктовый</t>
  </si>
  <si>
    <t>Фрукт</t>
  </si>
  <si>
    <t>Фрукт свежий (яблоко)</t>
  </si>
  <si>
    <t>Овощи натуральные свежие (помидоры)</t>
  </si>
  <si>
    <t>Суп с макаронными изделиями с цыплёнком и зеленью</t>
  </si>
  <si>
    <t>250/10/2</t>
  </si>
  <si>
    <t>№312-2015г.</t>
  </si>
  <si>
    <t>Пюре картофельное</t>
  </si>
  <si>
    <t>Филе минтая запечёное</t>
  </si>
  <si>
    <t>ТТК №16</t>
  </si>
  <si>
    <t>№686-2004г.</t>
  </si>
  <si>
    <t>Чай с лимоном</t>
  </si>
  <si>
    <t>200/15/7</t>
  </si>
  <si>
    <t>№425-2015г.</t>
  </si>
  <si>
    <t>Булочка дорожная</t>
  </si>
  <si>
    <t>Печенье "Сахарное"</t>
  </si>
  <si>
    <t>№171-2015г.</t>
  </si>
  <si>
    <t>150/5/5</t>
  </si>
  <si>
    <t>Батон пшеничный</t>
  </si>
  <si>
    <t>№2-2015г.</t>
  </si>
  <si>
    <t>Бутерброд с повидлом</t>
  </si>
  <si>
    <t>15/19</t>
  </si>
  <si>
    <t>Завтрак 5-11 кл с доплатой 62,50 руб. и льготники с доплатой 42,50 руб. 1 смена</t>
  </si>
  <si>
    <t>Завтрак для льготников 5-11 кл</t>
  </si>
  <si>
    <t>Завтрак бюджетный 1-я смена и полдник для детей-инвалидов 2-я смена 5-11 кл</t>
  </si>
  <si>
    <t xml:space="preserve">Обед дети-инвалиды 5-11 кл 2 смена </t>
  </si>
  <si>
    <t>Обед 6-7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</si>
</sst>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3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2" fontId="2" fillId="0" borderId="25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13" workbookViewId="0">
      <selection activeCell="J26" sqref="J26"/>
    </sheetView>
  </sheetViews>
  <sheetFormatPr defaultRowHeight="15" x14ac:dyDescent="0.25"/>
  <cols>
    <col min="1" max="1" width="24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31"/>
      <c r="F1" s="1" t="s">
        <v>2</v>
      </c>
      <c r="G1" s="62">
        <v>44532</v>
      </c>
      <c r="H1" s="63"/>
      <c r="I1" s="63"/>
      <c r="J1" s="64"/>
      <c r="K1" s="1"/>
      <c r="L1" s="1"/>
    </row>
    <row r="2" spans="1:12" ht="15.75" thickBot="1" x14ac:dyDescent="0.3">
      <c r="A2" s="45" t="s">
        <v>3</v>
      </c>
      <c r="B2" s="4" t="s">
        <v>4</v>
      </c>
      <c r="C2" s="47" t="s">
        <v>5</v>
      </c>
      <c r="D2" s="45" t="s">
        <v>6</v>
      </c>
      <c r="E2" s="45" t="s">
        <v>7</v>
      </c>
      <c r="F2" s="45" t="s">
        <v>8</v>
      </c>
      <c r="G2" s="4" t="s">
        <v>9</v>
      </c>
      <c r="H2" s="4" t="s">
        <v>10</v>
      </c>
      <c r="I2" s="4" t="s">
        <v>11</v>
      </c>
      <c r="J2" s="46" t="s">
        <v>12</v>
      </c>
    </row>
    <row r="3" spans="1:12" s="37" customFormat="1" x14ac:dyDescent="0.25">
      <c r="A3" s="52" t="s">
        <v>27</v>
      </c>
      <c r="B3" s="20" t="s">
        <v>31</v>
      </c>
      <c r="C3" s="21" t="s">
        <v>37</v>
      </c>
      <c r="D3" s="21" t="s">
        <v>51</v>
      </c>
      <c r="E3" s="13">
        <v>25</v>
      </c>
      <c r="F3" s="14">
        <v>4.66</v>
      </c>
      <c r="G3" s="14">
        <f>11*0.5</f>
        <v>5.5</v>
      </c>
      <c r="H3" s="14">
        <f>0.55*0.5</f>
        <v>0.27500000000000002</v>
      </c>
      <c r="I3" s="14">
        <f>0.1*0.5</f>
        <v>0.05</v>
      </c>
      <c r="J3" s="15">
        <f>1.9*0.5</f>
        <v>0.95</v>
      </c>
    </row>
    <row r="4" spans="1:12" s="36" customFormat="1" x14ac:dyDescent="0.25">
      <c r="A4" s="52"/>
      <c r="B4" s="7" t="s">
        <v>13</v>
      </c>
      <c r="C4" s="5" t="s">
        <v>38</v>
      </c>
      <c r="D4" s="5" t="s">
        <v>39</v>
      </c>
      <c r="E4" s="16" t="s">
        <v>40</v>
      </c>
      <c r="F4" s="6">
        <v>43.8</v>
      </c>
      <c r="G4" s="6">
        <f>290*0.6</f>
        <v>174</v>
      </c>
      <c r="H4" s="6">
        <f>15.2*0.6</f>
        <v>9.1199999999999992</v>
      </c>
      <c r="I4" s="6">
        <f>23.1*0.6</f>
        <v>13.860000000000001</v>
      </c>
      <c r="J4" s="8">
        <f>5.12*0.6</f>
        <v>3.0720000000000001</v>
      </c>
      <c r="K4"/>
    </row>
    <row r="5" spans="1:12" s="36" customFormat="1" x14ac:dyDescent="0.25">
      <c r="A5" s="52"/>
      <c r="B5" s="7" t="s">
        <v>17</v>
      </c>
      <c r="C5" s="5" t="s">
        <v>41</v>
      </c>
      <c r="D5" s="5" t="s">
        <v>42</v>
      </c>
      <c r="E5" s="16">
        <v>120</v>
      </c>
      <c r="F5" s="6">
        <v>13.57</v>
      </c>
      <c r="G5" s="28">
        <f>1625*0.12</f>
        <v>195</v>
      </c>
      <c r="H5" s="28">
        <f>57.32*0.12</f>
        <v>6.8784000000000001</v>
      </c>
      <c r="I5" s="28">
        <f>40.62*0.12</f>
        <v>4.8743999999999996</v>
      </c>
      <c r="J5" s="29">
        <f>257.61*0.12</f>
        <v>30.9132</v>
      </c>
      <c r="K5"/>
    </row>
    <row r="6" spans="1:12" s="38" customFormat="1" x14ac:dyDescent="0.25">
      <c r="A6" s="52"/>
      <c r="B6" s="7" t="s">
        <v>18</v>
      </c>
      <c r="C6" s="5" t="s">
        <v>19</v>
      </c>
      <c r="D6" s="5" t="s">
        <v>20</v>
      </c>
      <c r="E6" s="16" t="s">
        <v>34</v>
      </c>
      <c r="F6" s="6">
        <v>2.67</v>
      </c>
      <c r="G6" s="6">
        <v>60</v>
      </c>
      <c r="H6" s="6">
        <v>7.0000000000000007E-2</v>
      </c>
      <c r="I6" s="6">
        <v>0.02</v>
      </c>
      <c r="J6" s="8">
        <v>15</v>
      </c>
      <c r="K6"/>
    </row>
    <row r="7" spans="1:12" x14ac:dyDescent="0.25">
      <c r="A7" s="52"/>
      <c r="B7" s="7" t="s">
        <v>21</v>
      </c>
      <c r="C7" s="5" t="s">
        <v>43</v>
      </c>
      <c r="D7" s="5" t="s">
        <v>44</v>
      </c>
      <c r="E7" s="16">
        <v>50</v>
      </c>
      <c r="F7" s="6">
        <v>3.95</v>
      </c>
      <c r="G7" s="30">
        <f>283*0.5</f>
        <v>141.5</v>
      </c>
      <c r="H7" s="30">
        <f>7.9*0.5</f>
        <v>3.95</v>
      </c>
      <c r="I7" s="30">
        <f>8.12*0.5</f>
        <v>4.0599999999999996</v>
      </c>
      <c r="J7" s="30">
        <f>44.48*0.5</f>
        <v>22.24</v>
      </c>
      <c r="K7"/>
    </row>
    <row r="8" spans="1:12" ht="15.75" thickBot="1" x14ac:dyDescent="0.3">
      <c r="A8" s="53"/>
      <c r="B8" s="9" t="s">
        <v>14</v>
      </c>
      <c r="C8" s="10" t="s">
        <v>32</v>
      </c>
      <c r="D8" s="10" t="s">
        <v>33</v>
      </c>
      <c r="E8" s="17">
        <v>20.5</v>
      </c>
      <c r="F8" s="18">
        <v>0.85</v>
      </c>
      <c r="G8" s="18">
        <f>229.7*0.205</f>
        <v>47.088499999999996</v>
      </c>
      <c r="H8" s="11">
        <f>6.7*0.205</f>
        <v>1.3734999999999999</v>
      </c>
      <c r="I8" s="11">
        <f>1.1*0.205</f>
        <v>0.22550000000000001</v>
      </c>
      <c r="J8" s="12">
        <f>48.3*0.205</f>
        <v>9.9014999999999986</v>
      </c>
      <c r="K8"/>
    </row>
    <row r="9" spans="1:12" ht="16.5" thickBot="1" x14ac:dyDescent="0.3">
      <c r="A9" s="68" t="s">
        <v>15</v>
      </c>
      <c r="B9" s="69"/>
      <c r="C9" s="69"/>
      <c r="D9" s="69"/>
      <c r="E9" s="70"/>
      <c r="F9" s="19">
        <f>SUM(F3:F8)</f>
        <v>69.499999999999986</v>
      </c>
      <c r="G9" s="19">
        <f t="shared" ref="G9:J9" si="0">SUM(G3:G8)</f>
        <v>623.08849999999995</v>
      </c>
      <c r="H9" s="19">
        <f t="shared" si="0"/>
        <v>21.666899999999998</v>
      </c>
      <c r="I9" s="19">
        <f t="shared" si="0"/>
        <v>23.0899</v>
      </c>
      <c r="J9" s="19">
        <f t="shared" si="0"/>
        <v>82.076700000000002</v>
      </c>
    </row>
    <row r="10" spans="1:12" s="36" customFormat="1" ht="30" x14ac:dyDescent="0.25">
      <c r="A10" s="54" t="s">
        <v>28</v>
      </c>
      <c r="B10" s="20" t="s">
        <v>16</v>
      </c>
      <c r="C10" s="21" t="s">
        <v>45</v>
      </c>
      <c r="D10" s="21" t="s">
        <v>52</v>
      </c>
      <c r="E10" s="13" t="s">
        <v>53</v>
      </c>
      <c r="F10" s="14">
        <v>13.62</v>
      </c>
      <c r="G10" s="14">
        <f>468*0.25+211*0.1</f>
        <v>138.1</v>
      </c>
      <c r="H10" s="14">
        <f>9.54*0.25+21.1*0.1</f>
        <v>4.4950000000000001</v>
      </c>
      <c r="I10" s="14">
        <f>20.31*0.25+13.6*0.1</f>
        <v>6.4375</v>
      </c>
      <c r="J10" s="15">
        <f>51.98*0.25+0</f>
        <v>12.994999999999999</v>
      </c>
    </row>
    <row r="11" spans="1:12" s="36" customFormat="1" x14ac:dyDescent="0.25">
      <c r="A11" s="55"/>
      <c r="B11" s="7" t="s">
        <v>13</v>
      </c>
      <c r="C11" s="34" t="s">
        <v>57</v>
      </c>
      <c r="D11" s="33" t="s">
        <v>56</v>
      </c>
      <c r="E11" s="16">
        <v>26</v>
      </c>
      <c r="F11" s="6">
        <v>17.39</v>
      </c>
      <c r="G11" s="30">
        <f>71/50*26</f>
        <v>36.92</v>
      </c>
      <c r="H11" s="30">
        <f>8.8/50*26</f>
        <v>4.5760000000000005</v>
      </c>
      <c r="I11" s="30">
        <f>3.1/50*26</f>
        <v>1.6120000000000001</v>
      </c>
      <c r="J11" s="30">
        <f>1.9/50*26</f>
        <v>0.98799999999999999</v>
      </c>
      <c r="K11"/>
    </row>
    <row r="12" spans="1:12" x14ac:dyDescent="0.25">
      <c r="A12" s="55"/>
      <c r="B12" s="7" t="s">
        <v>17</v>
      </c>
      <c r="C12" s="34" t="s">
        <v>54</v>
      </c>
      <c r="D12" s="35" t="s">
        <v>55</v>
      </c>
      <c r="E12" s="16">
        <v>100</v>
      </c>
      <c r="F12" s="6">
        <v>11.08</v>
      </c>
      <c r="G12" s="28">
        <f>915*0.1</f>
        <v>91.5</v>
      </c>
      <c r="H12" s="28">
        <f>20.43*0.1</f>
        <v>2.0430000000000001</v>
      </c>
      <c r="I12" s="28">
        <f>32.01*0.1</f>
        <v>3.2010000000000001</v>
      </c>
      <c r="J12" s="29">
        <f>136.26*0.1</f>
        <v>13.625999999999999</v>
      </c>
      <c r="K12"/>
    </row>
    <row r="13" spans="1:12" x14ac:dyDescent="0.25">
      <c r="A13" s="55"/>
      <c r="B13" s="7" t="s">
        <v>18</v>
      </c>
      <c r="C13" s="5" t="s">
        <v>19</v>
      </c>
      <c r="D13" s="5" t="s">
        <v>20</v>
      </c>
      <c r="E13" s="16" t="s">
        <v>34</v>
      </c>
      <c r="F13" s="6">
        <v>2.63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55"/>
      <c r="B14" s="9" t="s">
        <v>14</v>
      </c>
      <c r="C14" s="10" t="s">
        <v>32</v>
      </c>
      <c r="D14" s="10" t="s">
        <v>33</v>
      </c>
      <c r="E14" s="17">
        <v>7</v>
      </c>
      <c r="F14" s="18">
        <v>0.28000000000000003</v>
      </c>
      <c r="G14" s="18">
        <f>229.7*0.07</f>
        <v>16.079000000000001</v>
      </c>
      <c r="H14" s="11">
        <f>6.7*0.07</f>
        <v>0.46900000000000008</v>
      </c>
      <c r="I14" s="11">
        <f>1.1*0.07</f>
        <v>7.7000000000000013E-2</v>
      </c>
      <c r="J14" s="12">
        <f>48.3*0.07</f>
        <v>3.3810000000000002</v>
      </c>
    </row>
    <row r="15" spans="1:12" ht="16.5" thickBot="1" x14ac:dyDescent="0.3">
      <c r="A15" s="56" t="s">
        <v>15</v>
      </c>
      <c r="B15" s="69"/>
      <c r="C15" s="69"/>
      <c r="D15" s="69"/>
      <c r="E15" s="70"/>
      <c r="F15" s="19">
        <f>SUM(F10:F14)</f>
        <v>45</v>
      </c>
      <c r="G15" s="19">
        <f t="shared" ref="G15:J15" si="1">SUM(G10:G14)</f>
        <v>342.59899999999999</v>
      </c>
      <c r="H15" s="19">
        <f t="shared" si="1"/>
        <v>11.653</v>
      </c>
      <c r="I15" s="19">
        <f t="shared" si="1"/>
        <v>11.3475</v>
      </c>
      <c r="J15" s="19">
        <f t="shared" si="1"/>
        <v>45.989999999999995</v>
      </c>
    </row>
    <row r="16" spans="1:12" s="43" customFormat="1" ht="30" x14ac:dyDescent="0.25">
      <c r="A16" s="59" t="s">
        <v>29</v>
      </c>
      <c r="B16" s="20" t="s">
        <v>16</v>
      </c>
      <c r="C16" s="21" t="s">
        <v>45</v>
      </c>
      <c r="D16" s="21" t="s">
        <v>52</v>
      </c>
      <c r="E16" s="13" t="s">
        <v>53</v>
      </c>
      <c r="F16" s="14">
        <v>13.62</v>
      </c>
      <c r="G16" s="14">
        <f>468*0.25+211*0.1</f>
        <v>138.1</v>
      </c>
      <c r="H16" s="14">
        <f>9.54*0.25+21.1*0.1</f>
        <v>4.4950000000000001</v>
      </c>
      <c r="I16" s="14">
        <f>20.31*0.25+13.6*0.1</f>
        <v>6.4375</v>
      </c>
      <c r="J16" s="15">
        <f>51.98*0.25+0</f>
        <v>12.994999999999999</v>
      </c>
    </row>
    <row r="17" spans="1:11" x14ac:dyDescent="0.25">
      <c r="A17" s="52"/>
      <c r="B17" s="7" t="s">
        <v>13</v>
      </c>
      <c r="C17" s="34" t="s">
        <v>57</v>
      </c>
      <c r="D17" s="33" t="s">
        <v>56</v>
      </c>
      <c r="E17" s="16">
        <v>50</v>
      </c>
      <c r="F17" s="6">
        <v>33.44</v>
      </c>
      <c r="G17" s="30">
        <f>71/50*50</f>
        <v>71</v>
      </c>
      <c r="H17" s="30">
        <f>8.8/50*50</f>
        <v>8.8000000000000007</v>
      </c>
      <c r="I17" s="30">
        <f>3.1/50*50</f>
        <v>3.1</v>
      </c>
      <c r="J17" s="30">
        <f>1.9/50*50</f>
        <v>1.9</v>
      </c>
    </row>
    <row r="18" spans="1:11" s="25" customFormat="1" x14ac:dyDescent="0.25">
      <c r="A18" s="52"/>
      <c r="B18" s="7" t="s">
        <v>17</v>
      </c>
      <c r="C18" s="34" t="s">
        <v>54</v>
      </c>
      <c r="D18" s="35" t="s">
        <v>55</v>
      </c>
      <c r="E18" s="16">
        <v>130</v>
      </c>
      <c r="F18" s="6">
        <v>14.4</v>
      </c>
      <c r="G18" s="28">
        <f>915*0.13</f>
        <v>118.95</v>
      </c>
      <c r="H18" s="28">
        <f>20.43*0.13</f>
        <v>2.6558999999999999</v>
      </c>
      <c r="I18" s="28">
        <f>32.01*0.13</f>
        <v>4.1612999999999998</v>
      </c>
      <c r="J18" s="29">
        <f>136.26*0.13</f>
        <v>17.713799999999999</v>
      </c>
      <c r="K18"/>
    </row>
    <row r="19" spans="1:11" x14ac:dyDescent="0.25">
      <c r="A19" s="52"/>
      <c r="B19" s="7" t="s">
        <v>18</v>
      </c>
      <c r="C19" s="34" t="s">
        <v>58</v>
      </c>
      <c r="D19" s="35" t="s">
        <v>59</v>
      </c>
      <c r="E19" s="16" t="s">
        <v>60</v>
      </c>
      <c r="F19" s="6">
        <v>3.97</v>
      </c>
      <c r="G19" s="6">
        <v>62</v>
      </c>
      <c r="H19" s="26">
        <v>0.13</v>
      </c>
      <c r="I19" s="26">
        <v>0.02</v>
      </c>
      <c r="J19" s="27">
        <v>15.2</v>
      </c>
      <c r="K19"/>
    </row>
    <row r="20" spans="1:11" s="43" customFormat="1" x14ac:dyDescent="0.25">
      <c r="A20" s="52"/>
      <c r="B20" s="7" t="s">
        <v>21</v>
      </c>
      <c r="C20" s="5" t="s">
        <v>61</v>
      </c>
      <c r="D20" s="5" t="s">
        <v>62</v>
      </c>
      <c r="E20" s="16">
        <v>50</v>
      </c>
      <c r="F20" s="6">
        <v>3.47</v>
      </c>
      <c r="G20" s="30">
        <v>160.5</v>
      </c>
      <c r="H20" s="30">
        <v>3.39</v>
      </c>
      <c r="I20" s="30">
        <v>6.98</v>
      </c>
      <c r="J20" s="30">
        <v>21.07</v>
      </c>
      <c r="K20"/>
    </row>
    <row r="21" spans="1:11" ht="15.75" thickBot="1" x14ac:dyDescent="0.3">
      <c r="A21" s="53"/>
      <c r="B21" s="9" t="s">
        <v>14</v>
      </c>
      <c r="C21" s="10" t="s">
        <v>32</v>
      </c>
      <c r="D21" s="10" t="s">
        <v>33</v>
      </c>
      <c r="E21" s="17">
        <v>14.5</v>
      </c>
      <c r="F21" s="18">
        <v>0.6</v>
      </c>
      <c r="G21" s="18">
        <f>229.7*0.145</f>
        <v>33.306499999999993</v>
      </c>
      <c r="H21" s="11">
        <f>6.7*0.145</f>
        <v>0.97149999999999992</v>
      </c>
      <c r="I21" s="11">
        <f>1.1*0.145</f>
        <v>0.1595</v>
      </c>
      <c r="J21" s="12">
        <f>48.3*0.145</f>
        <v>7.0034999999999989</v>
      </c>
      <c r="K21"/>
    </row>
    <row r="22" spans="1:11" ht="16.5" thickBot="1" x14ac:dyDescent="0.3">
      <c r="A22" s="68" t="s">
        <v>15</v>
      </c>
      <c r="B22" s="69"/>
      <c r="C22" s="69"/>
      <c r="D22" s="69"/>
      <c r="E22" s="70"/>
      <c r="F22" s="19">
        <f>SUM(F16:F21)</f>
        <v>69.499999999999986</v>
      </c>
      <c r="G22" s="19">
        <f t="shared" ref="G22:J22" si="2">SUM(G16:G21)</f>
        <v>583.85649999999998</v>
      </c>
      <c r="H22" s="19">
        <f t="shared" si="2"/>
        <v>20.442399999999999</v>
      </c>
      <c r="I22" s="19">
        <f t="shared" si="2"/>
        <v>20.8583</v>
      </c>
      <c r="J22" s="19">
        <f t="shared" si="2"/>
        <v>75.882300000000015</v>
      </c>
      <c r="K22"/>
    </row>
    <row r="23" spans="1:11" x14ac:dyDescent="0.25">
      <c r="A23" s="54" t="s">
        <v>30</v>
      </c>
      <c r="B23" s="20" t="s">
        <v>46</v>
      </c>
      <c r="C23" s="21" t="s">
        <v>47</v>
      </c>
      <c r="D23" s="21" t="s">
        <v>48</v>
      </c>
      <c r="E23" s="48">
        <v>200</v>
      </c>
      <c r="F23" s="22">
        <v>14.43</v>
      </c>
      <c r="G23" s="24">
        <f>424*0.2</f>
        <v>84.800000000000011</v>
      </c>
      <c r="H23" s="14">
        <f>5*0.2</f>
        <v>1</v>
      </c>
      <c r="I23" s="14">
        <f>0</f>
        <v>0</v>
      </c>
      <c r="J23" s="15">
        <f>101*0.2</f>
        <v>20.200000000000003</v>
      </c>
      <c r="K23"/>
    </row>
    <row r="24" spans="1:11" s="37" customFormat="1" x14ac:dyDescent="0.25">
      <c r="A24" s="55"/>
      <c r="B24" s="7" t="s">
        <v>36</v>
      </c>
      <c r="C24" s="5" t="s">
        <v>35</v>
      </c>
      <c r="D24" s="5" t="s">
        <v>63</v>
      </c>
      <c r="E24" s="49">
        <v>40</v>
      </c>
      <c r="F24" s="40">
        <v>5.15</v>
      </c>
      <c r="G24" s="30">
        <f>480*0.4</f>
        <v>192</v>
      </c>
      <c r="H24" s="30">
        <f>8.5*0.4</f>
        <v>3.4000000000000004</v>
      </c>
      <c r="I24" s="30">
        <f>18*0.4</f>
        <v>7.2</v>
      </c>
      <c r="J24" s="32">
        <f>70*0.4</f>
        <v>28</v>
      </c>
      <c r="K24"/>
    </row>
    <row r="25" spans="1:11" s="25" customFormat="1" ht="15.75" thickBot="1" x14ac:dyDescent="0.3">
      <c r="A25" s="55"/>
      <c r="B25" s="9" t="s">
        <v>49</v>
      </c>
      <c r="C25" s="10" t="s">
        <v>35</v>
      </c>
      <c r="D25" s="10" t="s">
        <v>50</v>
      </c>
      <c r="E25" s="50">
        <v>200</v>
      </c>
      <c r="F25" s="11">
        <v>25.42</v>
      </c>
      <c r="G25" s="41">
        <f>47*2</f>
        <v>94</v>
      </c>
      <c r="H25" s="41">
        <f>0.4*2</f>
        <v>0.8</v>
      </c>
      <c r="I25" s="41">
        <f>0.4*2</f>
        <v>0.8</v>
      </c>
      <c r="J25" s="42">
        <f>9.8*2</f>
        <v>19.600000000000001</v>
      </c>
      <c r="K25"/>
    </row>
    <row r="26" spans="1:11" ht="16.5" thickBot="1" x14ac:dyDescent="0.3">
      <c r="A26" s="56" t="s">
        <v>15</v>
      </c>
      <c r="B26" s="57"/>
      <c r="C26" s="57"/>
      <c r="D26" s="57"/>
      <c r="E26" s="58"/>
      <c r="F26" s="39">
        <f>SUM(F23:F25)</f>
        <v>45</v>
      </c>
      <c r="G26" s="39">
        <f t="shared" ref="G26:J26" si="3">SUM(G23:G25)</f>
        <v>370.8</v>
      </c>
      <c r="H26" s="39">
        <f t="shared" si="3"/>
        <v>5.2</v>
      </c>
      <c r="I26" s="39">
        <f t="shared" si="3"/>
        <v>8</v>
      </c>
      <c r="J26" s="39">
        <f t="shared" si="3"/>
        <v>67.800000000000011</v>
      </c>
      <c r="K26"/>
    </row>
    <row r="28" spans="1:11" ht="15.75" thickBot="1" x14ac:dyDescent="0.3">
      <c r="A28" s="66" t="s">
        <v>25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1" ht="15.75" x14ac:dyDescent="0.25">
      <c r="A29" s="23"/>
      <c r="B29" s="23"/>
      <c r="C29" s="65" t="s">
        <v>23</v>
      </c>
      <c r="D29" s="65"/>
      <c r="G29" s="67"/>
      <c r="H29" s="67"/>
      <c r="I29" s="67"/>
      <c r="J29" s="67"/>
    </row>
    <row r="30" spans="1:11" x14ac:dyDescent="0.25">
      <c r="A30" s="1"/>
      <c r="B30" s="1"/>
      <c r="C30" s="1"/>
      <c r="D30" s="1"/>
    </row>
    <row r="31" spans="1:11" x14ac:dyDescent="0.25">
      <c r="A31" s="51" t="s">
        <v>24</v>
      </c>
      <c r="B31" s="51"/>
    </row>
    <row r="32" spans="1:11" x14ac:dyDescent="0.25">
      <c r="A32" s="51" t="s">
        <v>26</v>
      </c>
      <c r="B32" s="51"/>
    </row>
    <row r="33" spans="1:1" x14ac:dyDescent="0.25">
      <c r="A33" s="3"/>
    </row>
    <row r="37" spans="1:1" customFormat="1" x14ac:dyDescent="0.25"/>
    <row r="38" spans="1:1" customFormat="1" x14ac:dyDescent="0.25"/>
    <row r="39" spans="1:1" customFormat="1" x14ac:dyDescent="0.25"/>
    <row r="40" spans="1:1" customFormat="1" x14ac:dyDescent="0.25"/>
  </sheetData>
  <mergeCells count="15">
    <mergeCell ref="B1:C1"/>
    <mergeCell ref="G1:J1"/>
    <mergeCell ref="C29:D29"/>
    <mergeCell ref="A28:J28"/>
    <mergeCell ref="G29:J29"/>
    <mergeCell ref="A9:E9"/>
    <mergeCell ref="A10:A14"/>
    <mergeCell ref="A15:E15"/>
    <mergeCell ref="A22:E22"/>
    <mergeCell ref="A31:B31"/>
    <mergeCell ref="A32:B32"/>
    <mergeCell ref="A3:A8"/>
    <mergeCell ref="A23:A25"/>
    <mergeCell ref="A26:E26"/>
    <mergeCell ref="A16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13" workbookViewId="0">
      <selection activeCell="B30" sqref="A30:XFD33"/>
    </sheetView>
  </sheetViews>
  <sheetFormatPr defaultRowHeight="15" x14ac:dyDescent="0.25"/>
  <cols>
    <col min="1" max="1" width="24" style="43" customWidth="1"/>
    <col min="2" max="2" width="24.7109375" style="43" customWidth="1"/>
    <col min="3" max="3" width="12.28515625" style="43" customWidth="1"/>
    <col min="4" max="4" width="46.28515625" style="43" customWidth="1"/>
    <col min="5" max="5" width="10.140625" style="43" bestFit="1" customWidth="1"/>
    <col min="6" max="6" width="9.140625" style="43"/>
    <col min="7" max="7" width="18.140625" style="43" customWidth="1"/>
    <col min="8" max="8" width="11.42578125" style="43" bestFit="1" customWidth="1"/>
    <col min="9" max="9" width="9.140625" style="43"/>
    <col min="10" max="10" width="10.85546875" style="43" customWidth="1"/>
    <col min="11" max="16384" width="9.140625" style="43"/>
  </cols>
  <sheetData>
    <row r="1" spans="1:12" ht="15.75" thickBot="1" x14ac:dyDescent="0.3">
      <c r="A1" s="1" t="s">
        <v>0</v>
      </c>
      <c r="B1" s="60" t="s">
        <v>22</v>
      </c>
      <c r="C1" s="61"/>
      <c r="D1" s="1" t="s">
        <v>1</v>
      </c>
      <c r="E1" s="31"/>
      <c r="F1" s="1" t="s">
        <v>2</v>
      </c>
      <c r="G1" s="62">
        <v>44532</v>
      </c>
      <c r="H1" s="63"/>
      <c r="I1" s="63"/>
      <c r="J1" s="64"/>
      <c r="K1" s="1"/>
      <c r="L1" s="1"/>
    </row>
    <row r="2" spans="1:12" ht="15.75" thickBot="1" x14ac:dyDescent="0.3">
      <c r="A2" s="45" t="s">
        <v>3</v>
      </c>
      <c r="B2" s="4" t="s">
        <v>4</v>
      </c>
      <c r="C2" s="47" t="s">
        <v>5</v>
      </c>
      <c r="D2" s="45" t="s">
        <v>6</v>
      </c>
      <c r="E2" s="45" t="s">
        <v>7</v>
      </c>
      <c r="F2" s="45" t="s">
        <v>8</v>
      </c>
      <c r="G2" s="4" t="s">
        <v>9</v>
      </c>
      <c r="H2" s="4" t="s">
        <v>10</v>
      </c>
      <c r="I2" s="4" t="s">
        <v>11</v>
      </c>
      <c r="J2" s="46" t="s">
        <v>12</v>
      </c>
    </row>
    <row r="3" spans="1:12" x14ac:dyDescent="0.25">
      <c r="A3" s="52" t="s">
        <v>70</v>
      </c>
      <c r="B3" s="20" t="s">
        <v>31</v>
      </c>
      <c r="C3" s="21" t="s">
        <v>37</v>
      </c>
      <c r="D3" s="21" t="s">
        <v>51</v>
      </c>
      <c r="E3" s="13">
        <v>25</v>
      </c>
      <c r="F3" s="14">
        <v>4.66</v>
      </c>
      <c r="G3" s="14">
        <f>11*0.5</f>
        <v>5.5</v>
      </c>
      <c r="H3" s="14">
        <f>0.55*0.5</f>
        <v>0.27500000000000002</v>
      </c>
      <c r="I3" s="14">
        <f>0.1*0.5</f>
        <v>0.05</v>
      </c>
      <c r="J3" s="15">
        <f>1.9*0.5</f>
        <v>0.95</v>
      </c>
    </row>
    <row r="4" spans="1:12" x14ac:dyDescent="0.25">
      <c r="A4" s="52"/>
      <c r="B4" s="7" t="s">
        <v>13</v>
      </c>
      <c r="C4" s="5" t="s">
        <v>38</v>
      </c>
      <c r="D4" s="5" t="s">
        <v>39</v>
      </c>
      <c r="E4" s="16" t="s">
        <v>40</v>
      </c>
      <c r="F4" s="6">
        <v>43.8</v>
      </c>
      <c r="G4" s="6">
        <f>290*0.6</f>
        <v>174</v>
      </c>
      <c r="H4" s="6">
        <f>15.2*0.6</f>
        <v>9.1199999999999992</v>
      </c>
      <c r="I4" s="6">
        <f>23.1*0.6</f>
        <v>13.860000000000001</v>
      </c>
      <c r="J4" s="8">
        <f>5.12*0.6</f>
        <v>3.0720000000000001</v>
      </c>
      <c r="K4"/>
    </row>
    <row r="5" spans="1:12" x14ac:dyDescent="0.25">
      <c r="A5" s="52"/>
      <c r="B5" s="7" t="s">
        <v>17</v>
      </c>
      <c r="C5" s="5" t="s">
        <v>41</v>
      </c>
      <c r="D5" s="5" t="s">
        <v>42</v>
      </c>
      <c r="E5" s="16">
        <v>120</v>
      </c>
      <c r="F5" s="6">
        <v>13.57</v>
      </c>
      <c r="G5" s="28">
        <f>1625*0.12</f>
        <v>195</v>
      </c>
      <c r="H5" s="28">
        <f>57.32*0.12</f>
        <v>6.8784000000000001</v>
      </c>
      <c r="I5" s="28">
        <f>40.62*0.12</f>
        <v>4.8743999999999996</v>
      </c>
      <c r="J5" s="29">
        <f>257.61*0.12</f>
        <v>30.9132</v>
      </c>
      <c r="K5"/>
    </row>
    <row r="6" spans="1:12" x14ac:dyDescent="0.25">
      <c r="A6" s="52"/>
      <c r="B6" s="7" t="s">
        <v>18</v>
      </c>
      <c r="C6" s="5" t="s">
        <v>19</v>
      </c>
      <c r="D6" s="5" t="s">
        <v>20</v>
      </c>
      <c r="E6" s="16" t="s">
        <v>34</v>
      </c>
      <c r="F6" s="6">
        <v>2.67</v>
      </c>
      <c r="G6" s="6">
        <v>60</v>
      </c>
      <c r="H6" s="6">
        <v>7.0000000000000007E-2</v>
      </c>
      <c r="I6" s="6">
        <v>0.02</v>
      </c>
      <c r="J6" s="8">
        <v>15</v>
      </c>
      <c r="K6"/>
    </row>
    <row r="7" spans="1:12" x14ac:dyDescent="0.25">
      <c r="A7" s="52"/>
      <c r="B7" s="7" t="s">
        <v>21</v>
      </c>
      <c r="C7" s="5" t="s">
        <v>43</v>
      </c>
      <c r="D7" s="5" t="s">
        <v>44</v>
      </c>
      <c r="E7" s="16">
        <v>50</v>
      </c>
      <c r="F7" s="6">
        <v>3.95</v>
      </c>
      <c r="G7" s="30">
        <f>283*0.5</f>
        <v>141.5</v>
      </c>
      <c r="H7" s="30">
        <f>7.9*0.5</f>
        <v>3.95</v>
      </c>
      <c r="I7" s="30">
        <f>8.12*0.5</f>
        <v>4.0599999999999996</v>
      </c>
      <c r="J7" s="30">
        <f>44.48*0.5</f>
        <v>22.24</v>
      </c>
      <c r="K7"/>
    </row>
    <row r="8" spans="1:12" ht="15.75" thickBot="1" x14ac:dyDescent="0.3">
      <c r="A8" s="53"/>
      <c r="B8" s="9" t="s">
        <v>14</v>
      </c>
      <c r="C8" s="10" t="s">
        <v>32</v>
      </c>
      <c r="D8" s="10" t="s">
        <v>33</v>
      </c>
      <c r="E8" s="17">
        <v>20.5</v>
      </c>
      <c r="F8" s="18">
        <v>0.85</v>
      </c>
      <c r="G8" s="18">
        <f>229.7*0.205</f>
        <v>47.088499999999996</v>
      </c>
      <c r="H8" s="11">
        <f>6.7*0.205</f>
        <v>1.3734999999999999</v>
      </c>
      <c r="I8" s="11">
        <f>1.1*0.205</f>
        <v>0.22550000000000001</v>
      </c>
      <c r="J8" s="12">
        <f>48.3*0.205</f>
        <v>9.9014999999999986</v>
      </c>
      <c r="K8"/>
    </row>
    <row r="9" spans="1:12" ht="16.5" thickBot="1" x14ac:dyDescent="0.3">
      <c r="A9" s="68" t="s">
        <v>15</v>
      </c>
      <c r="B9" s="69"/>
      <c r="C9" s="69"/>
      <c r="D9" s="69"/>
      <c r="E9" s="70"/>
      <c r="F9" s="19">
        <f>SUM(F3:F8)</f>
        <v>69.499999999999986</v>
      </c>
      <c r="G9" s="19">
        <f t="shared" ref="G9:J9" si="0">SUM(G3:G8)</f>
        <v>623.08849999999995</v>
      </c>
      <c r="H9" s="19">
        <f t="shared" si="0"/>
        <v>21.666899999999998</v>
      </c>
      <c r="I9" s="19">
        <f t="shared" si="0"/>
        <v>23.0899</v>
      </c>
      <c r="J9" s="19">
        <f t="shared" si="0"/>
        <v>82.076700000000002</v>
      </c>
    </row>
    <row r="10" spans="1:12" x14ac:dyDescent="0.25">
      <c r="A10" s="52" t="s">
        <v>71</v>
      </c>
      <c r="B10" s="20" t="s">
        <v>13</v>
      </c>
      <c r="C10" s="21" t="s">
        <v>64</v>
      </c>
      <c r="D10" s="21" t="s">
        <v>42</v>
      </c>
      <c r="E10" s="13" t="s">
        <v>65</v>
      </c>
      <c r="F10" s="14">
        <v>21.62</v>
      </c>
      <c r="G10" s="71">
        <f>1625*0.15+66*0.5+40*0.5</f>
        <v>296.75</v>
      </c>
      <c r="H10" s="71">
        <f>57.32*0.15+0.08*0.5</f>
        <v>8.6379999999999981</v>
      </c>
      <c r="I10" s="71">
        <f>40.62*0.15+7.25*0.5</f>
        <v>9.718</v>
      </c>
      <c r="J10" s="72">
        <f>257.61*0.15+0.13*0.5+9.98*0.5</f>
        <v>43.6965</v>
      </c>
      <c r="K10"/>
    </row>
    <row r="11" spans="1:12" x14ac:dyDescent="0.25">
      <c r="A11" s="52"/>
      <c r="B11" s="7" t="s">
        <v>18</v>
      </c>
      <c r="C11" s="5" t="s">
        <v>19</v>
      </c>
      <c r="D11" s="5" t="s">
        <v>20</v>
      </c>
      <c r="E11" s="16" t="s">
        <v>34</v>
      </c>
      <c r="F11" s="6">
        <v>2.67</v>
      </c>
      <c r="G11" s="6">
        <v>60</v>
      </c>
      <c r="H11" s="6">
        <v>7.0000000000000007E-2</v>
      </c>
      <c r="I11" s="6">
        <v>0.02</v>
      </c>
      <c r="J11" s="8">
        <v>15</v>
      </c>
      <c r="K11"/>
    </row>
    <row r="12" spans="1:12" ht="15.75" thickBot="1" x14ac:dyDescent="0.3">
      <c r="A12" s="53"/>
      <c r="B12" s="9" t="s">
        <v>14</v>
      </c>
      <c r="C12" s="10" t="s">
        <v>35</v>
      </c>
      <c r="D12" s="10" t="s">
        <v>66</v>
      </c>
      <c r="E12" s="17">
        <v>22.5</v>
      </c>
      <c r="F12" s="18">
        <v>2.71</v>
      </c>
      <c r="G12" s="18">
        <f>280*0.225</f>
        <v>63</v>
      </c>
      <c r="H12" s="11">
        <f>8*0.225</f>
        <v>1.8</v>
      </c>
      <c r="I12" s="11">
        <f>3*0.225</f>
        <v>0.67500000000000004</v>
      </c>
      <c r="J12" s="12">
        <f>54*0.225</f>
        <v>12.15</v>
      </c>
      <c r="K12"/>
    </row>
    <row r="13" spans="1:12" ht="16.5" thickBot="1" x14ac:dyDescent="0.3">
      <c r="A13" s="68" t="s">
        <v>15</v>
      </c>
      <c r="B13" s="69"/>
      <c r="C13" s="69"/>
      <c r="D13" s="69"/>
      <c r="E13" s="70"/>
      <c r="F13" s="19">
        <f>SUM(F10:F12)</f>
        <v>27</v>
      </c>
      <c r="G13" s="19">
        <f>SUM(G10:G12)</f>
        <v>419.75</v>
      </c>
      <c r="H13" s="19">
        <f>SUM(H10:H12)</f>
        <v>10.507999999999999</v>
      </c>
      <c r="I13" s="19">
        <f>SUM(I10:I12)</f>
        <v>10.413</v>
      </c>
      <c r="J13" s="19">
        <f>SUM(J10:J12)</f>
        <v>70.846500000000006</v>
      </c>
    </row>
    <row r="14" spans="1:12" x14ac:dyDescent="0.25">
      <c r="A14" s="52" t="s">
        <v>72</v>
      </c>
      <c r="B14" s="20" t="s">
        <v>31</v>
      </c>
      <c r="C14" s="21" t="s">
        <v>67</v>
      </c>
      <c r="D14" s="21" t="s">
        <v>68</v>
      </c>
      <c r="E14" s="13" t="s">
        <v>69</v>
      </c>
      <c r="F14" s="14">
        <v>4.33</v>
      </c>
      <c r="G14" s="14">
        <f>250*0.15+280*0.19</f>
        <v>90.7</v>
      </c>
      <c r="H14" s="22">
        <f>0.4*0.15+8*0.19</f>
        <v>1.58</v>
      </c>
      <c r="I14" s="22">
        <f>3*0.19</f>
        <v>0.57000000000000006</v>
      </c>
      <c r="J14" s="74">
        <f>65*0.15+54*0.19</f>
        <v>20.009999999999998</v>
      </c>
    </row>
    <row r="15" spans="1:12" ht="15.75" thickBot="1" x14ac:dyDescent="0.3">
      <c r="A15" s="52"/>
      <c r="B15" s="9" t="s">
        <v>18</v>
      </c>
      <c r="C15" s="10" t="s">
        <v>19</v>
      </c>
      <c r="D15" s="10" t="s">
        <v>20</v>
      </c>
      <c r="E15" s="17" t="s">
        <v>34</v>
      </c>
      <c r="F15" s="18">
        <v>2.67</v>
      </c>
      <c r="G15" s="18">
        <v>60</v>
      </c>
      <c r="H15" s="18">
        <v>7.0000000000000007E-2</v>
      </c>
      <c r="I15" s="18">
        <v>0.02</v>
      </c>
      <c r="J15" s="73">
        <v>15</v>
      </c>
      <c r="K15"/>
    </row>
    <row r="16" spans="1:12" ht="16.5" thickBot="1" x14ac:dyDescent="0.3">
      <c r="A16" s="68" t="s">
        <v>15</v>
      </c>
      <c r="B16" s="69"/>
      <c r="C16" s="69"/>
      <c r="D16" s="69"/>
      <c r="E16" s="70"/>
      <c r="F16" s="19">
        <f>SUM(F14:F15)</f>
        <v>7</v>
      </c>
      <c r="G16" s="19">
        <f>SUM(G14:G15)</f>
        <v>150.69999999999999</v>
      </c>
      <c r="H16" s="19">
        <f>SUM(H14:H15)</f>
        <v>1.6500000000000001</v>
      </c>
      <c r="I16" s="19">
        <f>SUM(I14:I15)</f>
        <v>0.59000000000000008</v>
      </c>
      <c r="J16" s="19">
        <f>SUM(J14:J15)</f>
        <v>35.01</v>
      </c>
    </row>
    <row r="17" spans="1:11" ht="30" x14ac:dyDescent="0.25">
      <c r="A17" s="54" t="s">
        <v>73</v>
      </c>
      <c r="B17" s="20" t="s">
        <v>16</v>
      </c>
      <c r="C17" s="21" t="s">
        <v>45</v>
      </c>
      <c r="D17" s="21" t="s">
        <v>52</v>
      </c>
      <c r="E17" s="13" t="s">
        <v>53</v>
      </c>
      <c r="F17" s="14">
        <v>13.62</v>
      </c>
      <c r="G17" s="14">
        <f>468*0.25+211*0.1</f>
        <v>138.1</v>
      </c>
      <c r="H17" s="14">
        <f>9.54*0.25+21.1*0.1</f>
        <v>4.4950000000000001</v>
      </c>
      <c r="I17" s="14">
        <f>20.31*0.25+13.6*0.1</f>
        <v>6.4375</v>
      </c>
      <c r="J17" s="15">
        <f>51.98*0.25+0</f>
        <v>12.994999999999999</v>
      </c>
    </row>
    <row r="18" spans="1:11" x14ac:dyDescent="0.25">
      <c r="A18" s="55"/>
      <c r="B18" s="7" t="s">
        <v>13</v>
      </c>
      <c r="C18" s="34" t="s">
        <v>57</v>
      </c>
      <c r="D18" s="33" t="s">
        <v>56</v>
      </c>
      <c r="E18" s="16">
        <v>26</v>
      </c>
      <c r="F18" s="6">
        <v>17.39</v>
      </c>
      <c r="G18" s="30">
        <f>71/50*26</f>
        <v>36.92</v>
      </c>
      <c r="H18" s="30">
        <f>8.8/50*26</f>
        <v>4.5760000000000005</v>
      </c>
      <c r="I18" s="30">
        <f>3.1/50*26</f>
        <v>1.6120000000000001</v>
      </c>
      <c r="J18" s="30">
        <f>1.9/50*26</f>
        <v>0.98799999999999999</v>
      </c>
      <c r="K18"/>
    </row>
    <row r="19" spans="1:11" x14ac:dyDescent="0.25">
      <c r="A19" s="55"/>
      <c r="B19" s="7" t="s">
        <v>17</v>
      </c>
      <c r="C19" s="34" t="s">
        <v>54</v>
      </c>
      <c r="D19" s="35" t="s">
        <v>55</v>
      </c>
      <c r="E19" s="16">
        <v>100</v>
      </c>
      <c r="F19" s="6">
        <v>11.08</v>
      </c>
      <c r="G19" s="28">
        <f>915*0.1</f>
        <v>91.5</v>
      </c>
      <c r="H19" s="28">
        <f>20.43*0.1</f>
        <v>2.0430000000000001</v>
      </c>
      <c r="I19" s="28">
        <f>32.01*0.1</f>
        <v>3.2010000000000001</v>
      </c>
      <c r="J19" s="29">
        <f>136.26*0.1</f>
        <v>13.625999999999999</v>
      </c>
      <c r="K19"/>
    </row>
    <row r="20" spans="1:11" x14ac:dyDescent="0.25">
      <c r="A20" s="55"/>
      <c r="B20" s="7" t="s">
        <v>18</v>
      </c>
      <c r="C20" s="5" t="s">
        <v>19</v>
      </c>
      <c r="D20" s="5" t="s">
        <v>20</v>
      </c>
      <c r="E20" s="16" t="s">
        <v>34</v>
      </c>
      <c r="F20" s="6">
        <v>2.63</v>
      </c>
      <c r="G20" s="6">
        <v>60</v>
      </c>
      <c r="H20" s="6">
        <v>7.0000000000000007E-2</v>
      </c>
      <c r="I20" s="6">
        <v>0.02</v>
      </c>
      <c r="J20" s="8">
        <v>15</v>
      </c>
      <c r="K20"/>
    </row>
    <row r="21" spans="1:11" ht="15.75" thickBot="1" x14ac:dyDescent="0.3">
      <c r="A21" s="55"/>
      <c r="B21" s="9" t="s">
        <v>14</v>
      </c>
      <c r="C21" s="10" t="s">
        <v>32</v>
      </c>
      <c r="D21" s="10" t="s">
        <v>33</v>
      </c>
      <c r="E21" s="17">
        <v>7</v>
      </c>
      <c r="F21" s="18">
        <v>0.28000000000000003</v>
      </c>
      <c r="G21" s="18">
        <f>229.7*0.07</f>
        <v>16.079000000000001</v>
      </c>
      <c r="H21" s="11">
        <f>6.7*0.07</f>
        <v>0.46900000000000008</v>
      </c>
      <c r="I21" s="11">
        <f>1.1*0.07</f>
        <v>7.7000000000000013E-2</v>
      </c>
      <c r="J21" s="12">
        <f>48.3*0.07</f>
        <v>3.3810000000000002</v>
      </c>
    </row>
    <row r="22" spans="1:11" ht="16.5" thickBot="1" x14ac:dyDescent="0.3">
      <c r="A22" s="56" t="s">
        <v>15</v>
      </c>
      <c r="B22" s="69"/>
      <c r="C22" s="69"/>
      <c r="D22" s="69"/>
      <c r="E22" s="70"/>
      <c r="F22" s="19">
        <f>SUM(F17:F21)</f>
        <v>45</v>
      </c>
      <c r="G22" s="19">
        <f t="shared" ref="G22:J22" si="1">SUM(G17:G21)</f>
        <v>342.59899999999999</v>
      </c>
      <c r="H22" s="19">
        <f t="shared" si="1"/>
        <v>11.653</v>
      </c>
      <c r="I22" s="19">
        <f t="shared" si="1"/>
        <v>11.3475</v>
      </c>
      <c r="J22" s="19">
        <f t="shared" si="1"/>
        <v>45.989999999999995</v>
      </c>
    </row>
    <row r="23" spans="1:11" ht="30" x14ac:dyDescent="0.25">
      <c r="A23" s="59" t="s">
        <v>74</v>
      </c>
      <c r="B23" s="20" t="s">
        <v>16</v>
      </c>
      <c r="C23" s="21" t="s">
        <v>45</v>
      </c>
      <c r="D23" s="21" t="s">
        <v>52</v>
      </c>
      <c r="E23" s="13" t="s">
        <v>53</v>
      </c>
      <c r="F23" s="14">
        <v>13.62</v>
      </c>
      <c r="G23" s="14">
        <f>468*0.25+211*0.1</f>
        <v>138.1</v>
      </c>
      <c r="H23" s="14">
        <f>9.54*0.25+21.1*0.1</f>
        <v>4.4950000000000001</v>
      </c>
      <c r="I23" s="14">
        <f>20.31*0.25+13.6*0.1</f>
        <v>6.4375</v>
      </c>
      <c r="J23" s="15">
        <f>51.98*0.25+0</f>
        <v>12.994999999999999</v>
      </c>
    </row>
    <row r="24" spans="1:11" x14ac:dyDescent="0.25">
      <c r="A24" s="52"/>
      <c r="B24" s="7" t="s">
        <v>13</v>
      </c>
      <c r="C24" s="34" t="s">
        <v>57</v>
      </c>
      <c r="D24" s="33" t="s">
        <v>56</v>
      </c>
      <c r="E24" s="16">
        <v>50</v>
      </c>
      <c r="F24" s="6">
        <v>33.44</v>
      </c>
      <c r="G24" s="30">
        <f>71/50*50</f>
        <v>71</v>
      </c>
      <c r="H24" s="30">
        <f>8.8/50*50</f>
        <v>8.8000000000000007</v>
      </c>
      <c r="I24" s="30">
        <f>3.1/50*50</f>
        <v>3.1</v>
      </c>
      <c r="J24" s="30">
        <f>1.9/50*50</f>
        <v>1.9</v>
      </c>
    </row>
    <row r="25" spans="1:11" x14ac:dyDescent="0.25">
      <c r="A25" s="52"/>
      <c r="B25" s="7" t="s">
        <v>17</v>
      </c>
      <c r="C25" s="34" t="s">
        <v>54</v>
      </c>
      <c r="D25" s="35" t="s">
        <v>55</v>
      </c>
      <c r="E25" s="16">
        <v>130</v>
      </c>
      <c r="F25" s="6">
        <v>14.4</v>
      </c>
      <c r="G25" s="28">
        <f>915*0.13</f>
        <v>118.95</v>
      </c>
      <c r="H25" s="28">
        <f>20.43*0.13</f>
        <v>2.6558999999999999</v>
      </c>
      <c r="I25" s="28">
        <f>32.01*0.13</f>
        <v>4.1612999999999998</v>
      </c>
      <c r="J25" s="29">
        <f>136.26*0.13</f>
        <v>17.713799999999999</v>
      </c>
      <c r="K25"/>
    </row>
    <row r="26" spans="1:11" x14ac:dyDescent="0.25">
      <c r="A26" s="52"/>
      <c r="B26" s="7" t="s">
        <v>18</v>
      </c>
      <c r="C26" s="34" t="s">
        <v>58</v>
      </c>
      <c r="D26" s="35" t="s">
        <v>59</v>
      </c>
      <c r="E26" s="16" t="s">
        <v>60</v>
      </c>
      <c r="F26" s="6">
        <v>3.97</v>
      </c>
      <c r="G26" s="6">
        <v>62</v>
      </c>
      <c r="H26" s="26">
        <v>0.13</v>
      </c>
      <c r="I26" s="26">
        <v>0.02</v>
      </c>
      <c r="J26" s="27">
        <v>15.2</v>
      </c>
      <c r="K26"/>
    </row>
    <row r="27" spans="1:11" x14ac:dyDescent="0.25">
      <c r="A27" s="52"/>
      <c r="B27" s="7" t="s">
        <v>21</v>
      </c>
      <c r="C27" s="5" t="s">
        <v>61</v>
      </c>
      <c r="D27" s="5" t="s">
        <v>62</v>
      </c>
      <c r="E27" s="16">
        <v>50</v>
      </c>
      <c r="F27" s="6">
        <v>3.47</v>
      </c>
      <c r="G27" s="30">
        <v>160.5</v>
      </c>
      <c r="H27" s="30">
        <v>3.39</v>
      </c>
      <c r="I27" s="30">
        <v>6.98</v>
      </c>
      <c r="J27" s="30">
        <v>21.07</v>
      </c>
      <c r="K27"/>
    </row>
    <row r="28" spans="1:11" ht="15.75" thickBot="1" x14ac:dyDescent="0.3">
      <c r="A28" s="53"/>
      <c r="B28" s="9" t="s">
        <v>14</v>
      </c>
      <c r="C28" s="10" t="s">
        <v>32</v>
      </c>
      <c r="D28" s="10" t="s">
        <v>33</v>
      </c>
      <c r="E28" s="17">
        <v>14.5</v>
      </c>
      <c r="F28" s="18">
        <v>0.6</v>
      </c>
      <c r="G28" s="18">
        <f>229.7*0.145</f>
        <v>33.306499999999993</v>
      </c>
      <c r="H28" s="11">
        <f>6.7*0.145</f>
        <v>0.97149999999999992</v>
      </c>
      <c r="I28" s="11">
        <f>1.1*0.145</f>
        <v>0.1595</v>
      </c>
      <c r="J28" s="12">
        <f>48.3*0.145</f>
        <v>7.0034999999999989</v>
      </c>
      <c r="K28"/>
    </row>
    <row r="29" spans="1:11" ht="16.5" thickBot="1" x14ac:dyDescent="0.3">
      <c r="A29" s="68" t="s">
        <v>15</v>
      </c>
      <c r="B29" s="69"/>
      <c r="C29" s="69"/>
      <c r="D29" s="69"/>
      <c r="E29" s="70"/>
      <c r="F29" s="19">
        <f>SUM(F23:F28)</f>
        <v>69.499999999999986</v>
      </c>
      <c r="G29" s="19">
        <f t="shared" ref="G29:J29" si="2">SUM(G23:G28)</f>
        <v>583.85649999999998</v>
      </c>
      <c r="H29" s="19">
        <f t="shared" si="2"/>
        <v>20.442399999999999</v>
      </c>
      <c r="I29" s="19">
        <f t="shared" si="2"/>
        <v>20.8583</v>
      </c>
      <c r="J29" s="19">
        <f t="shared" si="2"/>
        <v>75.882300000000015</v>
      </c>
      <c r="K29"/>
    </row>
    <row r="31" spans="1:11" ht="15.75" thickBot="1" x14ac:dyDescent="0.3">
      <c r="A31" s="66" t="s">
        <v>25</v>
      </c>
      <c r="B31" s="66"/>
      <c r="C31" s="66"/>
      <c r="D31" s="66"/>
      <c r="E31" s="66"/>
      <c r="F31" s="66"/>
      <c r="G31" s="66"/>
      <c r="H31" s="66"/>
      <c r="I31" s="66"/>
      <c r="J31" s="66"/>
    </row>
    <row r="32" spans="1:11" ht="15.75" x14ac:dyDescent="0.25">
      <c r="A32" s="23"/>
      <c r="B32" s="23"/>
      <c r="C32" s="65" t="s">
        <v>23</v>
      </c>
      <c r="D32" s="65"/>
      <c r="G32" s="67"/>
      <c r="H32" s="67"/>
      <c r="I32" s="67"/>
      <c r="J32" s="67"/>
    </row>
    <row r="33" spans="1:4" x14ac:dyDescent="0.25">
      <c r="A33" s="1"/>
      <c r="B33" s="1"/>
      <c r="C33" s="1"/>
      <c r="D33" s="1"/>
    </row>
    <row r="34" spans="1:4" x14ac:dyDescent="0.25">
      <c r="A34" s="51" t="s">
        <v>24</v>
      </c>
      <c r="B34" s="51"/>
    </row>
    <row r="35" spans="1:4" x14ac:dyDescent="0.25">
      <c r="A35" s="51" t="s">
        <v>26</v>
      </c>
      <c r="B35" s="51"/>
    </row>
    <row r="36" spans="1:4" x14ac:dyDescent="0.25">
      <c r="A36" s="44"/>
    </row>
    <row r="40" spans="1:4" customFormat="1" x14ac:dyDescent="0.25"/>
    <row r="41" spans="1:4" customFormat="1" x14ac:dyDescent="0.25"/>
    <row r="42" spans="1:4" customFormat="1" x14ac:dyDescent="0.25"/>
    <row r="43" spans="1:4" customFormat="1" x14ac:dyDescent="0.25"/>
  </sheetData>
  <mergeCells count="17">
    <mergeCell ref="A34:B34"/>
    <mergeCell ref="A35:B35"/>
    <mergeCell ref="A10:A12"/>
    <mergeCell ref="A13:E13"/>
    <mergeCell ref="A14:A15"/>
    <mergeCell ref="A16:E16"/>
    <mergeCell ref="A23:A28"/>
    <mergeCell ref="A29:E29"/>
    <mergeCell ref="A31:J31"/>
    <mergeCell ref="C32:D32"/>
    <mergeCell ref="G32:J32"/>
    <mergeCell ref="B1:C1"/>
    <mergeCell ref="G1:J1"/>
    <mergeCell ref="A3:A8"/>
    <mergeCell ref="A9:E9"/>
    <mergeCell ref="A17:A21"/>
    <mergeCell ref="A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02.12 1-4 кл</vt:lpstr>
      <vt:lpstr>02.12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2021-12-01T09:39:08Z</dcterms:modified>
</cp:coreProperties>
</file>