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1.01 1-4 кл" sheetId="1" r:id="rId1"/>
    <sheet name="11.01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28" i="2"/>
  <c r="I28" i="2"/>
  <c r="H28" i="2"/>
  <c r="G28" i="2"/>
  <c r="J25" i="2"/>
  <c r="I25" i="2"/>
  <c r="H25" i="2"/>
  <c r="G25" i="2"/>
  <c r="J24" i="2"/>
  <c r="I24" i="2"/>
  <c r="H24" i="2"/>
  <c r="G24" i="2"/>
  <c r="J23" i="2"/>
  <c r="I23" i="2"/>
  <c r="H23" i="2"/>
  <c r="G23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14" i="2"/>
  <c r="I14" i="2"/>
  <c r="H14" i="2"/>
  <c r="G14" i="2"/>
  <c r="J12" i="2"/>
  <c r="I12" i="2"/>
  <c r="H12" i="2"/>
  <c r="G12" i="2"/>
  <c r="J9" i="2"/>
  <c r="I9" i="2"/>
  <c r="H9" i="2"/>
  <c r="G9" i="2"/>
  <c r="J7" i="2"/>
  <c r="I7" i="2"/>
  <c r="H7" i="2"/>
  <c r="G7" i="2"/>
  <c r="J3" i="2"/>
  <c r="I3" i="2"/>
  <c r="H3" i="2"/>
  <c r="G3" i="2"/>
  <c r="J25" i="1"/>
  <c r="I25" i="1"/>
  <c r="H25" i="1"/>
  <c r="G25" i="1"/>
  <c r="J26" i="1"/>
  <c r="I26" i="1"/>
  <c r="H26" i="1"/>
  <c r="G26" i="1"/>
  <c r="J16" i="1"/>
  <c r="I16" i="1"/>
  <c r="H16" i="1"/>
  <c r="G16" i="1"/>
  <c r="G23" i="1"/>
  <c r="H23" i="1"/>
  <c r="I23" i="1"/>
  <c r="J23" i="1"/>
  <c r="F23" i="1"/>
  <c r="J22" i="1"/>
  <c r="I22" i="1"/>
  <c r="H22" i="1"/>
  <c r="G22" i="1"/>
  <c r="J21" i="1"/>
  <c r="I21" i="1"/>
  <c r="H21" i="1"/>
  <c r="G21" i="1"/>
  <c r="J19" i="1"/>
  <c r="I19" i="1"/>
  <c r="H19" i="1"/>
  <c r="G19" i="1"/>
  <c r="J12" i="1"/>
  <c r="I12" i="1"/>
  <c r="H12" i="1"/>
  <c r="G12" i="1"/>
  <c r="J11" i="1" l="1"/>
  <c r="I11" i="1"/>
  <c r="H11" i="1"/>
  <c r="G11" i="1"/>
  <c r="J8" i="1" l="1"/>
  <c r="I8" i="1"/>
  <c r="H8" i="1"/>
  <c r="G8" i="1"/>
  <c r="J6" i="1"/>
  <c r="I6" i="1"/>
  <c r="H6" i="1"/>
  <c r="G6" i="1"/>
  <c r="J5" i="1"/>
  <c r="I5" i="1"/>
  <c r="H5" i="1"/>
  <c r="G5" i="1"/>
  <c r="J4" i="1"/>
  <c r="I4" i="1"/>
  <c r="H4" i="1"/>
  <c r="G4" i="1"/>
  <c r="J3" i="1"/>
  <c r="I3" i="1"/>
  <c r="H3" i="1"/>
  <c r="G3" i="1"/>
  <c r="J5" i="2" l="1"/>
  <c r="I5" i="2"/>
  <c r="H5" i="2"/>
  <c r="G5" i="2"/>
  <c r="J4" i="2"/>
  <c r="I4" i="2"/>
  <c r="H4" i="2"/>
  <c r="G4" i="2"/>
  <c r="J14" i="1" l="1"/>
  <c r="I14" i="1"/>
  <c r="H14" i="1"/>
  <c r="G14" i="1"/>
  <c r="G15" i="1"/>
  <c r="H15" i="1"/>
  <c r="I15" i="1"/>
  <c r="J15" i="1"/>
  <c r="F15" i="1"/>
  <c r="J17" i="1"/>
  <c r="I17" i="1"/>
  <c r="H17" i="1"/>
  <c r="G17" i="1"/>
  <c r="J10" i="1"/>
  <c r="I10" i="1"/>
  <c r="H10" i="1"/>
  <c r="G10" i="1"/>
  <c r="F9" i="1"/>
  <c r="F16" i="2" l="1"/>
  <c r="J16" i="2"/>
  <c r="I16" i="2"/>
  <c r="H16" i="2"/>
  <c r="G16" i="2"/>
  <c r="F13" i="2"/>
  <c r="J10" i="2"/>
  <c r="I10" i="2"/>
  <c r="H10" i="2"/>
  <c r="G10" i="2"/>
  <c r="J13" i="2"/>
  <c r="I13" i="2"/>
  <c r="H13" i="2"/>
  <c r="G13" i="2"/>
  <c r="F29" i="2"/>
  <c r="J29" i="2"/>
  <c r="I29" i="2"/>
  <c r="H29" i="2"/>
  <c r="G29" i="2"/>
  <c r="F22" i="2"/>
  <c r="J22" i="2"/>
  <c r="H22" i="2"/>
  <c r="G22" i="2"/>
  <c r="F8" i="2"/>
  <c r="J8" i="2"/>
  <c r="I8" i="2"/>
  <c r="H8" i="2"/>
  <c r="G8" i="2"/>
  <c r="I22" i="2" l="1"/>
  <c r="J9" i="1" l="1"/>
  <c r="I9" i="1"/>
  <c r="H9" i="1"/>
  <c r="G9" i="1"/>
  <c r="J18" i="1" l="1"/>
  <c r="I18" i="1"/>
  <c r="H18" i="1"/>
  <c r="G18" i="1"/>
  <c r="J27" i="1" l="1"/>
  <c r="F27" i="1"/>
  <c r="I27" i="1"/>
  <c r="H27" i="1"/>
  <c r="G27" i="1"/>
</calcChain>
</file>

<file path=xl/sharedStrings.xml><?xml version="1.0" encoding="utf-8"?>
<sst xmlns="http://schemas.openxmlformats.org/spreadsheetml/2006/main" count="195" uniqueCount="68">
  <si>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</si>
  <si>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</si>
  <si>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</si>
  <si>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</si>
  <si>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</si>
  <si>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</si>
  <si>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</si>
  <si>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</si>
  <si>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</si>
  <si>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</si>
  <si>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</si>
  <si>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</si>
  <si>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</si>
  <si>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</si>
  <si>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</si>
  <si>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</si>
  <si>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</si>
  <si>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</si>
  <si>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</si>
  <si>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</si>
  <si>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</si>
  <si>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</si>
  <si>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</si>
  <si>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</si>
  <si>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</si>
  <si>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</si>
  <si>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</si>
  <si>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</si>
  <si>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</si>
  <si>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</si>
  <si>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</si>
  <si>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</si>
  <si>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</si>
  <si>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</si>
  <si>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</si>
  <si>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Фрукт</t>
  </si>
  <si>
    <t>№338-2015г.</t>
  </si>
  <si>
    <t>№268-2015г.</t>
  </si>
  <si>
    <t>Котлета из свинины</t>
  </si>
  <si>
    <t>ТТК №16</t>
  </si>
  <si>
    <t>Филе минтая запечённое</t>
  </si>
  <si>
    <t>№312-2015г.</t>
  </si>
  <si>
    <t>Пюре картофельное</t>
  </si>
  <si>
    <t>Яблоко свежее (порциями)</t>
  </si>
  <si>
    <t>Напиток (сладкое блюдо)</t>
  </si>
  <si>
    <t>№349-2015г.</t>
  </si>
  <si>
    <t>Компот из смеси сухофруктов</t>
  </si>
  <si>
    <t>№71-2015г.</t>
  </si>
  <si>
    <t>Овощи натуральные свежие (огурцы)</t>
  </si>
  <si>
    <t>Завтрак бюджетный 1-я смена и полдник для детей-инвалидов 2-я смена 5-11 кл</t>
  </si>
  <si>
    <t>Завтрак льготный 5-11 кл</t>
  </si>
  <si>
    <t>Завтрак 5-11 кл с доплатой 62,50 руб. и льготники с доплатой 42,50 руб. 1 смена</t>
  </si>
  <si>
    <t>Обед дети-инвалиды 5-11 кл 2 смена</t>
  </si>
  <si>
    <t>Обед 6-7 кл.</t>
  </si>
  <si>
    <t>№425-2015г.</t>
  </si>
  <si>
    <t>Булочка дорожная</t>
  </si>
  <si>
    <t>№111-2015г.</t>
  </si>
  <si>
    <t>№2-2015г.</t>
  </si>
  <si>
    <t>Бутерброд с повидлом</t>
  </si>
  <si>
    <t>Суп с макаронными изделиями с цыплёнком</t>
  </si>
  <si>
    <t>250/10</t>
  </si>
  <si>
    <t>№304-2015г.</t>
  </si>
  <si>
    <t>Рис отварной</t>
  </si>
  <si>
    <t>Фрукт свежий (мандарин)</t>
  </si>
  <si>
    <t>Овощи натуральные свежие (помидоры)</t>
  </si>
  <si>
    <t>Кекс "Столичный"</t>
  </si>
  <si>
    <t>№446-2015г.</t>
  </si>
  <si>
    <t>20/31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</si>
</sst>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1" fillId="0" borderId="21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2" fontId="1" fillId="0" borderId="2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5" fillId="0" borderId="19" xfId="0" applyNumberFormat="1" applyFont="1" applyBorder="1" applyAlignment="1">
      <alignment horizontal="right" vertical="center" wrapText="1"/>
    </xf>
    <xf numFmtId="0" fontId="1" fillId="0" borderId="0" xfId="0" applyFont="1"/>
    <xf numFmtId="2" fontId="2" fillId="0" borderId="28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/>
    <xf numFmtId="2" fontId="1" fillId="0" borderId="22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/>
    <xf numFmtId="0" fontId="1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0" xfId="0" applyFont="1"/>
    <xf numFmtId="14" fontId="4" fillId="0" borderId="7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right" vertical="center" wrapText="1"/>
    </xf>
    <xf numFmtId="2" fontId="5" fillId="0" borderId="17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2" fontId="2" fillId="0" borderId="35" xfId="0" applyNumberFormat="1" applyFont="1" applyBorder="1" applyAlignment="1">
      <alignment vertical="center" wrapText="1"/>
    </xf>
    <xf numFmtId="2" fontId="2" fillId="0" borderId="3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7" workbookViewId="0">
      <selection activeCell="B17" sqref="B17:J22"/>
    </sheetView>
  </sheetViews>
  <sheetFormatPr defaultRowHeight="15" x14ac:dyDescent="0.25"/>
  <cols>
    <col min="1" max="1" width="20.140625" style="3" customWidth="1"/>
    <col min="2" max="2" width="24.5703125" style="3" customWidth="1"/>
    <col min="3" max="3" width="12.28515625" style="3" customWidth="1"/>
    <col min="4" max="4" width="48.710937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65" t="s">
        <v>22</v>
      </c>
      <c r="C1" s="66"/>
      <c r="D1" s="1" t="s">
        <v>1</v>
      </c>
      <c r="E1" s="2"/>
      <c r="F1" s="1" t="s">
        <v>2</v>
      </c>
      <c r="G1" s="45">
        <v>44572</v>
      </c>
      <c r="H1" s="46"/>
      <c r="I1" s="46"/>
      <c r="J1" s="46"/>
      <c r="K1" s="1"/>
      <c r="L1" s="1"/>
    </row>
    <row r="2" spans="1:12" ht="16.5" thickTop="1" thickBot="1" x14ac:dyDescent="0.3">
      <c r="A2" s="4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9" t="s">
        <v>12</v>
      </c>
    </row>
    <row r="3" spans="1:12" s="38" customFormat="1" ht="17.25" customHeight="1" thickTop="1" x14ac:dyDescent="0.25">
      <c r="A3" s="59" t="s">
        <v>27</v>
      </c>
      <c r="B3" s="27" t="s">
        <v>31</v>
      </c>
      <c r="C3" s="28" t="s">
        <v>47</v>
      </c>
      <c r="D3" s="28" t="s">
        <v>48</v>
      </c>
      <c r="E3" s="20">
        <v>20</v>
      </c>
      <c r="F3" s="21">
        <v>5.32</v>
      </c>
      <c r="G3" s="21">
        <f>6/50*20</f>
        <v>2.4</v>
      </c>
      <c r="H3" s="21">
        <f>0.35/50*20</f>
        <v>0.13999999999999999</v>
      </c>
      <c r="I3" s="21">
        <f>0.05/50*20</f>
        <v>0.02</v>
      </c>
      <c r="J3" s="22">
        <f>0.95/50*20</f>
        <v>0.38</v>
      </c>
      <c r="K3"/>
    </row>
    <row r="4" spans="1:12" s="36" customFormat="1" ht="15.75" customHeight="1" x14ac:dyDescent="0.25">
      <c r="A4" s="57"/>
      <c r="B4" s="13" t="s">
        <v>13</v>
      </c>
      <c r="C4" s="10" t="s">
        <v>39</v>
      </c>
      <c r="D4" s="10" t="s">
        <v>40</v>
      </c>
      <c r="E4" s="23">
        <v>60</v>
      </c>
      <c r="F4" s="12">
        <v>40.21</v>
      </c>
      <c r="G4" s="30">
        <f>71/50*60</f>
        <v>85.199999999999989</v>
      </c>
      <c r="H4" s="30">
        <f>8.8/50*60</f>
        <v>10.56</v>
      </c>
      <c r="I4" s="30">
        <f>3.1/50*60</f>
        <v>3.7199999999999998</v>
      </c>
      <c r="J4" s="31">
        <f>1.9/50*60</f>
        <v>2.2799999999999998</v>
      </c>
      <c r="K4"/>
    </row>
    <row r="5" spans="1:12" s="34" customFormat="1" ht="14.25" customHeight="1" x14ac:dyDescent="0.25">
      <c r="A5" s="57"/>
      <c r="B5" s="13" t="s">
        <v>17</v>
      </c>
      <c r="C5" s="10" t="s">
        <v>41</v>
      </c>
      <c r="D5" s="10" t="s">
        <v>42</v>
      </c>
      <c r="E5" s="23">
        <v>150</v>
      </c>
      <c r="F5" s="12">
        <v>17.399999999999999</v>
      </c>
      <c r="G5" s="30">
        <f>915*0.15</f>
        <v>137.25</v>
      </c>
      <c r="H5" s="30">
        <f>20.43*0.15</f>
        <v>3.0644999999999998</v>
      </c>
      <c r="I5" s="30">
        <f>32.01*0.15</f>
        <v>4.8014999999999999</v>
      </c>
      <c r="J5" s="31">
        <f>136.26*0.15</f>
        <v>20.438999999999997</v>
      </c>
      <c r="K5"/>
    </row>
    <row r="6" spans="1:12" x14ac:dyDescent="0.25">
      <c r="A6" s="57"/>
      <c r="B6" s="13" t="s">
        <v>44</v>
      </c>
      <c r="C6" s="10" t="s">
        <v>45</v>
      </c>
      <c r="D6" s="10" t="s">
        <v>46</v>
      </c>
      <c r="E6" s="23">
        <v>200</v>
      </c>
      <c r="F6" s="12">
        <v>6.43</v>
      </c>
      <c r="G6" s="12">
        <f>664*0.2</f>
        <v>132.80000000000001</v>
      </c>
      <c r="H6" s="30">
        <f>3.31*0.2</f>
        <v>0.66200000000000003</v>
      </c>
      <c r="I6" s="30">
        <f>0.45*0.2</f>
        <v>9.0000000000000011E-2</v>
      </c>
      <c r="J6" s="31">
        <f>160.07*0.2</f>
        <v>32.014000000000003</v>
      </c>
    </row>
    <row r="7" spans="1:12" x14ac:dyDescent="0.25">
      <c r="A7" s="57"/>
      <c r="B7" s="13" t="s">
        <v>21</v>
      </c>
      <c r="C7" s="42" t="s">
        <v>54</v>
      </c>
      <c r="D7" s="10" t="s">
        <v>55</v>
      </c>
      <c r="E7" s="23">
        <v>50</v>
      </c>
      <c r="F7" s="43">
        <v>3.59</v>
      </c>
      <c r="G7" s="43">
        <v>160.5</v>
      </c>
      <c r="H7" s="43">
        <v>3.39</v>
      </c>
      <c r="I7" s="43">
        <v>6.98</v>
      </c>
      <c r="J7" s="43">
        <v>21.07</v>
      </c>
    </row>
    <row r="8" spans="1:12" ht="15.75" thickBot="1" x14ac:dyDescent="0.3">
      <c r="A8" s="58"/>
      <c r="B8" s="16" t="s">
        <v>14</v>
      </c>
      <c r="C8" s="17" t="s">
        <v>32</v>
      </c>
      <c r="D8" s="17" t="s">
        <v>33</v>
      </c>
      <c r="E8" s="24">
        <v>43.5</v>
      </c>
      <c r="F8" s="25">
        <v>1.78</v>
      </c>
      <c r="G8" s="25">
        <f>229.7*0.435</f>
        <v>99.919499999999999</v>
      </c>
      <c r="H8" s="18">
        <f>6.7*0.435</f>
        <v>2.9144999999999999</v>
      </c>
      <c r="I8" s="18">
        <f>1.1*0.435</f>
        <v>0.47850000000000004</v>
      </c>
      <c r="J8" s="19">
        <f>48.3*0.435</f>
        <v>21.0105</v>
      </c>
    </row>
    <row r="9" spans="1:12" ht="16.5" thickBot="1" x14ac:dyDescent="0.3">
      <c r="A9" s="50" t="s">
        <v>15</v>
      </c>
      <c r="B9" s="51"/>
      <c r="C9" s="51"/>
      <c r="D9" s="51"/>
      <c r="E9" s="52"/>
      <c r="F9" s="26">
        <f>SUM(F3:F8)</f>
        <v>74.73</v>
      </c>
      <c r="G9" s="26">
        <f t="shared" ref="G9:J9" si="0">SUM(G3:G8)</f>
        <v>618.06949999999995</v>
      </c>
      <c r="H9" s="26">
        <f t="shared" si="0"/>
        <v>20.731000000000002</v>
      </c>
      <c r="I9" s="26">
        <f t="shared" si="0"/>
        <v>16.09</v>
      </c>
      <c r="J9" s="26">
        <f t="shared" si="0"/>
        <v>97.1935</v>
      </c>
    </row>
    <row r="10" spans="1:12" x14ac:dyDescent="0.25">
      <c r="A10" s="67" t="s">
        <v>28</v>
      </c>
      <c r="B10" s="27" t="s">
        <v>16</v>
      </c>
      <c r="C10" s="28" t="s">
        <v>56</v>
      </c>
      <c r="D10" s="28" t="s">
        <v>59</v>
      </c>
      <c r="E10" s="20" t="s">
        <v>60</v>
      </c>
      <c r="F10" s="21">
        <v>12.59</v>
      </c>
      <c r="G10" s="21">
        <f>468*0.25+211*0.1</f>
        <v>138.1</v>
      </c>
      <c r="H10" s="21">
        <f>9.54*0.25+21.1*0.1</f>
        <v>4.4950000000000001</v>
      </c>
      <c r="I10" s="21">
        <f>20.31*0.25+13.6*0.1</f>
        <v>6.4375</v>
      </c>
      <c r="J10" s="22">
        <f>51.98*0.25+0</f>
        <v>12.994999999999999</v>
      </c>
      <c r="K10"/>
    </row>
    <row r="11" spans="1:12" x14ac:dyDescent="0.25">
      <c r="A11" s="68"/>
      <c r="B11" s="13" t="s">
        <v>13</v>
      </c>
      <c r="C11" s="10" t="s">
        <v>37</v>
      </c>
      <c r="D11" s="10" t="s">
        <v>38</v>
      </c>
      <c r="E11" s="23">
        <v>47</v>
      </c>
      <c r="F11" s="12">
        <v>20.04</v>
      </c>
      <c r="G11" s="30">
        <f>182/50*47</f>
        <v>171.08</v>
      </c>
      <c r="H11" s="30">
        <f>6.74/50*47</f>
        <v>6.3356000000000003</v>
      </c>
      <c r="I11" s="30">
        <f>13.91/50*47</f>
        <v>13.0754</v>
      </c>
      <c r="J11" s="31">
        <f>7.09/50*47</f>
        <v>6.6646000000000001</v>
      </c>
      <c r="K11"/>
    </row>
    <row r="12" spans="1:12" s="34" customFormat="1" x14ac:dyDescent="0.25">
      <c r="A12" s="68"/>
      <c r="B12" s="13" t="s">
        <v>17</v>
      </c>
      <c r="C12" s="10" t="s">
        <v>61</v>
      </c>
      <c r="D12" s="10" t="s">
        <v>62</v>
      </c>
      <c r="E12" s="23">
        <v>100</v>
      </c>
      <c r="F12" s="12">
        <v>7.57</v>
      </c>
      <c r="G12" s="30">
        <f>1398*0.1</f>
        <v>139.80000000000001</v>
      </c>
      <c r="H12" s="30">
        <f>24.34*0.1</f>
        <v>2.4340000000000002</v>
      </c>
      <c r="I12" s="30">
        <f>35.83*0.1</f>
        <v>3.5830000000000002</v>
      </c>
      <c r="J12" s="31">
        <f>244.56*0.1</f>
        <v>24.456000000000003</v>
      </c>
      <c r="K12"/>
    </row>
    <row r="13" spans="1:12" s="34" customFormat="1" x14ac:dyDescent="0.25">
      <c r="A13" s="68"/>
      <c r="B13" s="13" t="s">
        <v>18</v>
      </c>
      <c r="C13" s="10" t="s">
        <v>19</v>
      </c>
      <c r="D13" s="10" t="s">
        <v>20</v>
      </c>
      <c r="E13" s="23" t="s">
        <v>34</v>
      </c>
      <c r="F13" s="12">
        <v>2.72</v>
      </c>
      <c r="G13" s="12">
        <v>60</v>
      </c>
      <c r="H13" s="12">
        <v>7.0000000000000007E-2</v>
      </c>
      <c r="I13" s="12">
        <v>0.02</v>
      </c>
      <c r="J13" s="14">
        <v>15</v>
      </c>
    </row>
    <row r="14" spans="1:12" s="41" customFormat="1" ht="15.75" thickBot="1" x14ac:dyDescent="0.3">
      <c r="A14" s="69"/>
      <c r="B14" s="13" t="s">
        <v>14</v>
      </c>
      <c r="C14" s="10" t="s">
        <v>32</v>
      </c>
      <c r="D14" s="10" t="s">
        <v>33</v>
      </c>
      <c r="E14" s="23">
        <v>39.5</v>
      </c>
      <c r="F14" s="12">
        <v>1.61</v>
      </c>
      <c r="G14" s="12">
        <f>229.7*0.395</f>
        <v>90.731499999999997</v>
      </c>
      <c r="H14" s="11">
        <f>6.7*0.395</f>
        <v>2.6465000000000001</v>
      </c>
      <c r="I14" s="11">
        <f>1.1*0.395</f>
        <v>0.43450000000000005</v>
      </c>
      <c r="J14" s="15">
        <f>48.3*0.395</f>
        <v>19.078499999999998</v>
      </c>
    </row>
    <row r="15" spans="1:12" ht="16.5" thickBot="1" x14ac:dyDescent="0.3">
      <c r="A15" s="53" t="s">
        <v>15</v>
      </c>
      <c r="B15" s="54"/>
      <c r="C15" s="54"/>
      <c r="D15" s="54"/>
      <c r="E15" s="55"/>
      <c r="F15" s="33">
        <f>SUM(F10:F14)</f>
        <v>44.529999999999994</v>
      </c>
      <c r="G15" s="33">
        <f t="shared" ref="G15:J15" si="1">SUM(G10:G14)</f>
        <v>599.7115</v>
      </c>
      <c r="H15" s="33">
        <f t="shared" si="1"/>
        <v>15.981100000000001</v>
      </c>
      <c r="I15" s="33">
        <f t="shared" si="1"/>
        <v>23.5504</v>
      </c>
      <c r="J15" s="33">
        <f t="shared" si="1"/>
        <v>78.194099999999992</v>
      </c>
    </row>
    <row r="16" spans="1:12" s="44" customFormat="1" ht="17.25" customHeight="1" x14ac:dyDescent="0.25">
      <c r="A16" s="56" t="s">
        <v>29</v>
      </c>
      <c r="B16" s="27" t="s">
        <v>31</v>
      </c>
      <c r="C16" s="28" t="s">
        <v>47</v>
      </c>
      <c r="D16" s="28" t="s">
        <v>64</v>
      </c>
      <c r="E16" s="20">
        <v>20</v>
      </c>
      <c r="F16" s="21">
        <v>5.5</v>
      </c>
      <c r="G16" s="21">
        <f>11/50*20</f>
        <v>4.4000000000000004</v>
      </c>
      <c r="H16" s="21">
        <f>0.55/50*20</f>
        <v>0.22000000000000003</v>
      </c>
      <c r="I16" s="21">
        <f>0.1/50*20</f>
        <v>0.04</v>
      </c>
      <c r="J16" s="22">
        <f>1.9/50*20</f>
        <v>0.76</v>
      </c>
      <c r="K16"/>
    </row>
    <row r="17" spans="1:11" s="36" customFormat="1" ht="15" customHeight="1" x14ac:dyDescent="0.25">
      <c r="A17" s="57"/>
      <c r="B17" s="13" t="s">
        <v>16</v>
      </c>
      <c r="C17" s="10" t="s">
        <v>56</v>
      </c>
      <c r="D17" s="10" t="s">
        <v>59</v>
      </c>
      <c r="E17" s="23" t="s">
        <v>60</v>
      </c>
      <c r="F17" s="12">
        <v>12.59</v>
      </c>
      <c r="G17" s="12">
        <f>468*0.25+211*0.1</f>
        <v>138.1</v>
      </c>
      <c r="H17" s="12">
        <f>9.54*0.25+21.1*0.1</f>
        <v>4.4950000000000001</v>
      </c>
      <c r="I17" s="12">
        <f>20.31*0.25+13.6*0.1</f>
        <v>6.4375</v>
      </c>
      <c r="J17" s="14">
        <f>51.98*0.25+0</f>
        <v>12.994999999999999</v>
      </c>
      <c r="K17"/>
    </row>
    <row r="18" spans="1:11" s="32" customFormat="1" x14ac:dyDescent="0.25">
      <c r="A18" s="57"/>
      <c r="B18" s="13" t="s">
        <v>13</v>
      </c>
      <c r="C18" s="10" t="s">
        <v>37</v>
      </c>
      <c r="D18" s="10" t="s">
        <v>38</v>
      </c>
      <c r="E18" s="23">
        <v>60</v>
      </c>
      <c r="F18" s="12">
        <v>25.58</v>
      </c>
      <c r="G18" s="30">
        <f>182/50*60</f>
        <v>218.4</v>
      </c>
      <c r="H18" s="30">
        <f>6.74/50*60</f>
        <v>8.088000000000001</v>
      </c>
      <c r="I18" s="30">
        <f>13.91/50*60</f>
        <v>16.692</v>
      </c>
      <c r="J18" s="31">
        <f>7.09/50*60</f>
        <v>8.5080000000000009</v>
      </c>
      <c r="K18"/>
    </row>
    <row r="19" spans="1:11" s="35" customFormat="1" x14ac:dyDescent="0.25">
      <c r="A19" s="57"/>
      <c r="B19" s="13" t="s">
        <v>17</v>
      </c>
      <c r="C19" s="10" t="s">
        <v>61</v>
      </c>
      <c r="D19" s="10" t="s">
        <v>62</v>
      </c>
      <c r="E19" s="23">
        <v>100</v>
      </c>
      <c r="F19" s="12">
        <v>7.57</v>
      </c>
      <c r="G19" s="30">
        <f>1398*0.1</f>
        <v>139.80000000000001</v>
      </c>
      <c r="H19" s="30">
        <f>24.34*0.1</f>
        <v>2.4340000000000002</v>
      </c>
      <c r="I19" s="30">
        <f>35.83*0.1</f>
        <v>3.5830000000000002</v>
      </c>
      <c r="J19" s="31">
        <f>244.56*0.1</f>
        <v>24.456000000000003</v>
      </c>
      <c r="K19"/>
    </row>
    <row r="20" spans="1:11" s="35" customFormat="1" x14ac:dyDescent="0.25">
      <c r="A20" s="57"/>
      <c r="B20" s="13" t="s">
        <v>18</v>
      </c>
      <c r="C20" s="10" t="s">
        <v>19</v>
      </c>
      <c r="D20" s="10" t="s">
        <v>20</v>
      </c>
      <c r="E20" s="23" t="s">
        <v>34</v>
      </c>
      <c r="F20" s="12">
        <v>2.72</v>
      </c>
      <c r="G20" s="12">
        <v>60</v>
      </c>
      <c r="H20" s="12">
        <v>7.0000000000000007E-2</v>
      </c>
      <c r="I20" s="12">
        <v>0.02</v>
      </c>
      <c r="J20" s="14">
        <v>15</v>
      </c>
    </row>
    <row r="21" spans="1:11" s="35" customFormat="1" x14ac:dyDescent="0.25">
      <c r="A21" s="57"/>
      <c r="B21" s="13" t="s">
        <v>14</v>
      </c>
      <c r="C21" s="10" t="s">
        <v>32</v>
      </c>
      <c r="D21" s="10" t="s">
        <v>33</v>
      </c>
      <c r="E21" s="23">
        <v>10</v>
      </c>
      <c r="F21" s="12">
        <v>0.41</v>
      </c>
      <c r="G21" s="12">
        <f>229.7*0.1</f>
        <v>22.97</v>
      </c>
      <c r="H21" s="11">
        <f>6.7*0.1</f>
        <v>0.67</v>
      </c>
      <c r="I21" s="11">
        <f>1.1*0.1</f>
        <v>0.11000000000000001</v>
      </c>
      <c r="J21" s="15">
        <f>48.3*0.1</f>
        <v>4.83</v>
      </c>
    </row>
    <row r="22" spans="1:11" ht="15.75" thickBot="1" x14ac:dyDescent="0.3">
      <c r="A22" s="58"/>
      <c r="B22" s="16" t="s">
        <v>35</v>
      </c>
      <c r="C22" s="17" t="s">
        <v>36</v>
      </c>
      <c r="D22" s="17" t="s">
        <v>63</v>
      </c>
      <c r="E22" s="24">
        <v>100</v>
      </c>
      <c r="F22" s="25">
        <v>20.36</v>
      </c>
      <c r="G22" s="25">
        <f>38</f>
        <v>38</v>
      </c>
      <c r="H22" s="18">
        <f>0.8</f>
        <v>0.8</v>
      </c>
      <c r="I22" s="18">
        <f>0.2</f>
        <v>0.2</v>
      </c>
      <c r="J22" s="19">
        <f>7.5</f>
        <v>7.5</v>
      </c>
      <c r="K22"/>
    </row>
    <row r="23" spans="1:11" ht="16.5" thickBot="1" x14ac:dyDescent="0.3">
      <c r="A23" s="50" t="s">
        <v>15</v>
      </c>
      <c r="B23" s="51"/>
      <c r="C23" s="51"/>
      <c r="D23" s="51"/>
      <c r="E23" s="52"/>
      <c r="F23" s="26">
        <f>SUM(F16:F22)</f>
        <v>74.72999999999999</v>
      </c>
      <c r="G23" s="26">
        <f t="shared" ref="G23:J23" si="2">SUM(G16:G22)</f>
        <v>621.67000000000007</v>
      </c>
      <c r="H23" s="26">
        <f t="shared" si="2"/>
        <v>16.777000000000001</v>
      </c>
      <c r="I23" s="26">
        <f t="shared" si="2"/>
        <v>27.082499999999996</v>
      </c>
      <c r="J23" s="26">
        <f t="shared" si="2"/>
        <v>74.049000000000007</v>
      </c>
      <c r="K23"/>
    </row>
    <row r="24" spans="1:11" s="36" customFormat="1" x14ac:dyDescent="0.25">
      <c r="A24" s="61" t="s">
        <v>30</v>
      </c>
      <c r="B24" s="27" t="s">
        <v>18</v>
      </c>
      <c r="C24" s="28" t="s">
        <v>19</v>
      </c>
      <c r="D24" s="28" t="s">
        <v>20</v>
      </c>
      <c r="E24" s="20" t="s">
        <v>34</v>
      </c>
      <c r="F24" s="21">
        <v>2.72</v>
      </c>
      <c r="G24" s="21">
        <v>60</v>
      </c>
      <c r="H24" s="21">
        <v>7.0000000000000007E-2</v>
      </c>
      <c r="I24" s="21">
        <v>0.02</v>
      </c>
      <c r="J24" s="22">
        <v>15</v>
      </c>
    </row>
    <row r="25" spans="1:11" s="36" customFormat="1" x14ac:dyDescent="0.25">
      <c r="A25" s="62"/>
      <c r="B25" s="13" t="s">
        <v>21</v>
      </c>
      <c r="C25" s="10" t="s">
        <v>66</v>
      </c>
      <c r="D25" s="10" t="s">
        <v>65</v>
      </c>
      <c r="E25" s="23">
        <v>75</v>
      </c>
      <c r="F25" s="12">
        <v>25.66</v>
      </c>
      <c r="G25" s="12">
        <f>315</f>
        <v>315</v>
      </c>
      <c r="H25" s="11">
        <f>4.57</f>
        <v>4.57</v>
      </c>
      <c r="I25" s="11">
        <f>13.84</f>
        <v>13.84</v>
      </c>
      <c r="J25" s="15">
        <f>43.06</f>
        <v>43.06</v>
      </c>
    </row>
    <row r="26" spans="1:11" s="38" customFormat="1" ht="15.75" thickBot="1" x14ac:dyDescent="0.3">
      <c r="A26" s="62"/>
      <c r="B26" s="16" t="s">
        <v>35</v>
      </c>
      <c r="C26" s="17" t="s">
        <v>36</v>
      </c>
      <c r="D26" s="17" t="s">
        <v>43</v>
      </c>
      <c r="E26" s="24">
        <v>116</v>
      </c>
      <c r="F26" s="25">
        <v>16.149999999999999</v>
      </c>
      <c r="G26" s="25">
        <f>47*1.16</f>
        <v>54.519999999999996</v>
      </c>
      <c r="H26" s="18">
        <f>0.4*1.16</f>
        <v>0.46399999999999997</v>
      </c>
      <c r="I26" s="18">
        <f>0.4*1.16</f>
        <v>0.46399999999999997</v>
      </c>
      <c r="J26" s="19">
        <f>9.8*1.16</f>
        <v>11.368</v>
      </c>
      <c r="K26"/>
    </row>
    <row r="27" spans="1:11" ht="16.5" thickBot="1" x14ac:dyDescent="0.3">
      <c r="A27" s="50" t="s">
        <v>15</v>
      </c>
      <c r="B27" s="63"/>
      <c r="C27" s="63"/>
      <c r="D27" s="63"/>
      <c r="E27" s="64"/>
      <c r="F27" s="5">
        <f>SUM(F24:F26)</f>
        <v>44.53</v>
      </c>
      <c r="G27" s="5">
        <f>SUM(G24:G26)</f>
        <v>429.52</v>
      </c>
      <c r="H27" s="5">
        <f>SUM(H24:H26)</f>
        <v>5.104000000000001</v>
      </c>
      <c r="I27" s="5">
        <f>SUM(I24:I26)</f>
        <v>14.324</v>
      </c>
      <c r="J27" s="5">
        <f>SUM(J24:J26)</f>
        <v>69.427999999999997</v>
      </c>
      <c r="K27"/>
    </row>
    <row r="29" spans="1:11" ht="15.75" thickBot="1" x14ac:dyDescent="0.3">
      <c r="A29" s="48" t="s">
        <v>25</v>
      </c>
      <c r="B29" s="48"/>
      <c r="C29" s="48"/>
      <c r="D29" s="48"/>
      <c r="E29" s="48"/>
      <c r="F29" s="48"/>
      <c r="G29" s="48"/>
      <c r="H29" s="48"/>
      <c r="I29" s="48"/>
      <c r="J29" s="48"/>
    </row>
    <row r="30" spans="1:11" ht="15.75" x14ac:dyDescent="0.25">
      <c r="A30" s="29"/>
      <c r="B30" s="29"/>
      <c r="C30" s="47" t="s">
        <v>23</v>
      </c>
      <c r="D30" s="47"/>
      <c r="G30" s="49"/>
      <c r="H30" s="49"/>
      <c r="I30" s="49"/>
      <c r="J30" s="49"/>
    </row>
    <row r="31" spans="1:11" x14ac:dyDescent="0.25">
      <c r="A31" s="1"/>
      <c r="B31" s="1"/>
      <c r="C31" s="1"/>
      <c r="D31" s="1"/>
    </row>
    <row r="32" spans="1:11" x14ac:dyDescent="0.25">
      <c r="A32" s="60" t="s">
        <v>24</v>
      </c>
      <c r="B32" s="60"/>
    </row>
    <row r="33" spans="1:2" x14ac:dyDescent="0.25">
      <c r="A33" s="60" t="s">
        <v>26</v>
      </c>
      <c r="B33" s="60"/>
    </row>
    <row r="34" spans="1:2" x14ac:dyDescent="0.25">
      <c r="A34" s="6"/>
    </row>
  </sheetData>
  <mergeCells count="15">
    <mergeCell ref="A32:B32"/>
    <mergeCell ref="A33:B33"/>
    <mergeCell ref="A24:A26"/>
    <mergeCell ref="A27:E27"/>
    <mergeCell ref="B1:C1"/>
    <mergeCell ref="A10:A14"/>
    <mergeCell ref="A16:A22"/>
    <mergeCell ref="G1:J1"/>
    <mergeCell ref="C30:D30"/>
    <mergeCell ref="A29:J29"/>
    <mergeCell ref="G30:J30"/>
    <mergeCell ref="A9:E9"/>
    <mergeCell ref="A15:E15"/>
    <mergeCell ref="A23:E23"/>
    <mergeCell ref="A3:A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0" workbookViewId="0">
      <selection activeCell="F32" sqref="F32"/>
    </sheetView>
  </sheetViews>
  <sheetFormatPr defaultRowHeight="15" x14ac:dyDescent="0.25"/>
  <cols>
    <col min="1" max="1" width="20.140625" style="38" customWidth="1"/>
    <col min="2" max="2" width="24.5703125" style="38" customWidth="1"/>
    <col min="3" max="3" width="12.28515625" style="38" customWidth="1"/>
    <col min="4" max="4" width="48.7109375" style="38" customWidth="1"/>
    <col min="5" max="5" width="10.140625" style="38" bestFit="1" customWidth="1"/>
    <col min="6" max="6" width="9.140625" style="38"/>
    <col min="7" max="7" width="18.140625" style="38" customWidth="1"/>
    <col min="8" max="8" width="11.42578125" style="38" bestFit="1" customWidth="1"/>
    <col min="9" max="9" width="9.140625" style="38"/>
    <col min="10" max="10" width="10.85546875" style="38" customWidth="1"/>
    <col min="11" max="16384" width="9.140625" style="38"/>
  </cols>
  <sheetData>
    <row r="1" spans="1:12" ht="15.75" thickBot="1" x14ac:dyDescent="0.3">
      <c r="A1" s="1" t="s">
        <v>0</v>
      </c>
      <c r="B1" s="65" t="s">
        <v>22</v>
      </c>
      <c r="C1" s="66"/>
      <c r="D1" s="1" t="s">
        <v>1</v>
      </c>
      <c r="E1" s="2"/>
      <c r="F1" s="1" t="s">
        <v>2</v>
      </c>
      <c r="G1" s="70">
        <v>44572</v>
      </c>
      <c r="H1" s="71"/>
      <c r="I1" s="71"/>
      <c r="J1" s="72"/>
      <c r="K1" s="1"/>
      <c r="L1" s="1"/>
    </row>
    <row r="2" spans="1:12" ht="16.5" thickTop="1" thickBot="1" x14ac:dyDescent="0.3">
      <c r="A2" s="4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8" t="s">
        <v>10</v>
      </c>
      <c r="I2" s="8" t="s">
        <v>11</v>
      </c>
      <c r="J2" s="40" t="s">
        <v>12</v>
      </c>
    </row>
    <row r="3" spans="1:12" ht="17.25" customHeight="1" thickTop="1" x14ac:dyDescent="0.25">
      <c r="A3" s="59" t="s">
        <v>51</v>
      </c>
      <c r="B3" s="27" t="s">
        <v>13</v>
      </c>
      <c r="C3" s="28" t="s">
        <v>39</v>
      </c>
      <c r="D3" s="28" t="s">
        <v>40</v>
      </c>
      <c r="E3" s="20">
        <v>60</v>
      </c>
      <c r="F3" s="21">
        <v>40.21</v>
      </c>
      <c r="G3" s="73">
        <f>71/50*60</f>
        <v>85.199999999999989</v>
      </c>
      <c r="H3" s="73">
        <f>8.8/50*60</f>
        <v>10.56</v>
      </c>
      <c r="I3" s="73">
        <f>3.1/50*60</f>
        <v>3.7199999999999998</v>
      </c>
      <c r="J3" s="74">
        <f>1.9/50*60</f>
        <v>2.2799999999999998</v>
      </c>
      <c r="K3"/>
    </row>
    <row r="4" spans="1:12" ht="14.25" customHeight="1" x14ac:dyDescent="0.25">
      <c r="A4" s="57"/>
      <c r="B4" s="13" t="s">
        <v>17</v>
      </c>
      <c r="C4" s="10" t="s">
        <v>41</v>
      </c>
      <c r="D4" s="10" t="s">
        <v>42</v>
      </c>
      <c r="E4" s="23">
        <v>150</v>
      </c>
      <c r="F4" s="12">
        <v>17.399999999999999</v>
      </c>
      <c r="G4" s="30">
        <f>915*0.15</f>
        <v>137.25</v>
      </c>
      <c r="H4" s="30">
        <f>20.43*0.15</f>
        <v>3.0644999999999998</v>
      </c>
      <c r="I4" s="30">
        <f>32.01*0.15</f>
        <v>4.8014999999999999</v>
      </c>
      <c r="J4" s="31">
        <f>136.26*0.15</f>
        <v>20.438999999999997</v>
      </c>
      <c r="K4"/>
    </row>
    <row r="5" spans="1:12" x14ac:dyDescent="0.25">
      <c r="A5" s="57"/>
      <c r="B5" s="13" t="s">
        <v>44</v>
      </c>
      <c r="C5" s="10" t="s">
        <v>45</v>
      </c>
      <c r="D5" s="10" t="s">
        <v>46</v>
      </c>
      <c r="E5" s="23">
        <v>200</v>
      </c>
      <c r="F5" s="12">
        <v>6.43</v>
      </c>
      <c r="G5" s="12">
        <f>664*0.2</f>
        <v>132.80000000000001</v>
      </c>
      <c r="H5" s="30">
        <f>3.31*0.2</f>
        <v>0.66200000000000003</v>
      </c>
      <c r="I5" s="30">
        <f>0.45*0.2</f>
        <v>9.0000000000000011E-2</v>
      </c>
      <c r="J5" s="31">
        <f>160.07*0.2</f>
        <v>32.014000000000003</v>
      </c>
    </row>
    <row r="6" spans="1:12" x14ac:dyDescent="0.25">
      <c r="A6" s="57"/>
      <c r="B6" s="13" t="s">
        <v>21</v>
      </c>
      <c r="C6" s="42" t="s">
        <v>54</v>
      </c>
      <c r="D6" s="10" t="s">
        <v>55</v>
      </c>
      <c r="E6" s="23">
        <v>50</v>
      </c>
      <c r="F6" s="43">
        <v>3.59</v>
      </c>
      <c r="G6" s="43">
        <v>160.5</v>
      </c>
      <c r="H6" s="43">
        <v>3.39</v>
      </c>
      <c r="I6" s="43">
        <v>6.98</v>
      </c>
      <c r="J6" s="75">
        <v>21.07</v>
      </c>
    </row>
    <row r="7" spans="1:12" ht="15.75" thickBot="1" x14ac:dyDescent="0.3">
      <c r="A7" s="58"/>
      <c r="B7" s="16" t="s">
        <v>14</v>
      </c>
      <c r="C7" s="17" t="s">
        <v>32</v>
      </c>
      <c r="D7" s="17" t="s">
        <v>33</v>
      </c>
      <c r="E7" s="24">
        <v>46</v>
      </c>
      <c r="F7" s="25">
        <v>1.87</v>
      </c>
      <c r="G7" s="25">
        <f>229.7*0.46</f>
        <v>105.66200000000001</v>
      </c>
      <c r="H7" s="18">
        <f>6.7*0.46</f>
        <v>3.0820000000000003</v>
      </c>
      <c r="I7" s="18">
        <f>1.1*0.46</f>
        <v>0.50600000000000012</v>
      </c>
      <c r="J7" s="19">
        <f>48.3*0.46</f>
        <v>22.218</v>
      </c>
    </row>
    <row r="8" spans="1:12" ht="16.5" thickBot="1" x14ac:dyDescent="0.3">
      <c r="A8" s="50" t="s">
        <v>15</v>
      </c>
      <c r="B8" s="51"/>
      <c r="C8" s="51"/>
      <c r="D8" s="51"/>
      <c r="E8" s="52"/>
      <c r="F8" s="26">
        <f>SUM(F3:F7)</f>
        <v>69.5</v>
      </c>
      <c r="G8" s="26">
        <f t="shared" ref="G8:J8" si="0">SUM(G3:G7)</f>
        <v>621.41200000000003</v>
      </c>
      <c r="H8" s="26">
        <f t="shared" si="0"/>
        <v>20.758500000000002</v>
      </c>
      <c r="I8" s="26">
        <f t="shared" si="0"/>
        <v>16.0975</v>
      </c>
      <c r="J8" s="26">
        <f t="shared" si="0"/>
        <v>98.021000000000001</v>
      </c>
    </row>
    <row r="9" spans="1:12" ht="17.25" customHeight="1" thickTop="1" x14ac:dyDescent="0.25">
      <c r="A9" s="59" t="s">
        <v>50</v>
      </c>
      <c r="B9" s="27" t="s">
        <v>31</v>
      </c>
      <c r="C9" s="28" t="s">
        <v>47</v>
      </c>
      <c r="D9" s="28" t="s">
        <v>48</v>
      </c>
      <c r="E9" s="20">
        <v>20</v>
      </c>
      <c r="F9" s="21">
        <v>5.32</v>
      </c>
      <c r="G9" s="21">
        <f>6/50*20</f>
        <v>2.4</v>
      </c>
      <c r="H9" s="21">
        <f>0.35/50*20</f>
        <v>0.13999999999999999</v>
      </c>
      <c r="I9" s="21">
        <f>0.05/50*20</f>
        <v>0.02</v>
      </c>
      <c r="J9" s="22">
        <f>0.95/50*20</f>
        <v>0.38</v>
      </c>
      <c r="K9"/>
    </row>
    <row r="10" spans="1:12" ht="14.25" customHeight="1" x14ac:dyDescent="0.25">
      <c r="A10" s="57"/>
      <c r="B10" s="13" t="s">
        <v>17</v>
      </c>
      <c r="C10" s="10" t="s">
        <v>41</v>
      </c>
      <c r="D10" s="10" t="s">
        <v>42</v>
      </c>
      <c r="E10" s="23">
        <v>150</v>
      </c>
      <c r="F10" s="12">
        <v>17.399999999999999</v>
      </c>
      <c r="G10" s="30">
        <f>915*0.15</f>
        <v>137.25</v>
      </c>
      <c r="H10" s="30">
        <f>20.43*0.15</f>
        <v>3.0644999999999998</v>
      </c>
      <c r="I10" s="30">
        <f>32.01*0.15</f>
        <v>4.8014999999999999</v>
      </c>
      <c r="J10" s="31">
        <f>136.26*0.15</f>
        <v>20.438999999999997</v>
      </c>
      <c r="K10"/>
    </row>
    <row r="11" spans="1:12" x14ac:dyDescent="0.25">
      <c r="A11" s="57"/>
      <c r="B11" s="13" t="s">
        <v>18</v>
      </c>
      <c r="C11" s="10" t="s">
        <v>19</v>
      </c>
      <c r="D11" s="10" t="s">
        <v>20</v>
      </c>
      <c r="E11" s="23" t="s">
        <v>34</v>
      </c>
      <c r="F11" s="12">
        <v>2.72</v>
      </c>
      <c r="G11" s="12">
        <v>60</v>
      </c>
      <c r="H11" s="12">
        <v>7.0000000000000007E-2</v>
      </c>
      <c r="I11" s="12">
        <v>0.02</v>
      </c>
      <c r="J11" s="14">
        <v>15</v>
      </c>
    </row>
    <row r="12" spans="1:12" ht="15.75" thickBot="1" x14ac:dyDescent="0.3">
      <c r="A12" s="58"/>
      <c r="B12" s="16" t="s">
        <v>14</v>
      </c>
      <c r="C12" s="17" t="s">
        <v>32</v>
      </c>
      <c r="D12" s="17" t="s">
        <v>33</v>
      </c>
      <c r="E12" s="24">
        <v>38</v>
      </c>
      <c r="F12" s="25">
        <v>1.56</v>
      </c>
      <c r="G12" s="25">
        <f>229.7*0.38</f>
        <v>87.286000000000001</v>
      </c>
      <c r="H12" s="18">
        <f>6.7*0.38</f>
        <v>2.5460000000000003</v>
      </c>
      <c r="I12" s="18">
        <f>1.1*0.38</f>
        <v>0.41800000000000004</v>
      </c>
      <c r="J12" s="19">
        <f>48.3*0.38</f>
        <v>18.353999999999999</v>
      </c>
    </row>
    <row r="13" spans="1:12" ht="16.5" thickBot="1" x14ac:dyDescent="0.3">
      <c r="A13" s="50" t="s">
        <v>15</v>
      </c>
      <c r="B13" s="51"/>
      <c r="C13" s="51"/>
      <c r="D13" s="51"/>
      <c r="E13" s="52"/>
      <c r="F13" s="26">
        <f>SUM(F9:F12)</f>
        <v>26.999999999999996</v>
      </c>
      <c r="G13" s="26">
        <f>SUM(G9:G12)</f>
        <v>286.93600000000004</v>
      </c>
      <c r="H13" s="26">
        <f>SUM(H9:H12)</f>
        <v>5.8205</v>
      </c>
      <c r="I13" s="26">
        <f>SUM(I9:I12)</f>
        <v>5.2594999999999992</v>
      </c>
      <c r="J13" s="26">
        <f>SUM(J9:J12)</f>
        <v>54.172999999999995</v>
      </c>
    </row>
    <row r="14" spans="1:12" ht="15.75" thickTop="1" x14ac:dyDescent="0.25">
      <c r="A14" s="59" t="s">
        <v>49</v>
      </c>
      <c r="B14" s="27" t="s">
        <v>31</v>
      </c>
      <c r="C14" s="28" t="s">
        <v>57</v>
      </c>
      <c r="D14" s="28" t="s">
        <v>58</v>
      </c>
      <c r="E14" s="20" t="s">
        <v>67</v>
      </c>
      <c r="F14" s="21">
        <v>4.28</v>
      </c>
      <c r="G14" s="21">
        <f>250*0.2+229.7*0.31</f>
        <v>121.20699999999999</v>
      </c>
      <c r="H14" s="21">
        <f>0.4*0.2+6.7*0.31</f>
        <v>2.157</v>
      </c>
      <c r="I14" s="21">
        <f>0+1.1*0.31</f>
        <v>0.34100000000000003</v>
      </c>
      <c r="J14" s="22">
        <f>65*0.2+48.3*0.31</f>
        <v>27.972999999999999</v>
      </c>
    </row>
    <row r="15" spans="1:12" ht="15.75" thickBot="1" x14ac:dyDescent="0.3">
      <c r="A15" s="57"/>
      <c r="B15" s="16" t="s">
        <v>18</v>
      </c>
      <c r="C15" s="17" t="s">
        <v>19</v>
      </c>
      <c r="D15" s="17" t="s">
        <v>20</v>
      </c>
      <c r="E15" s="24" t="s">
        <v>34</v>
      </c>
      <c r="F15" s="25">
        <v>2.72</v>
      </c>
      <c r="G15" s="25">
        <v>60</v>
      </c>
      <c r="H15" s="25">
        <v>7.0000000000000007E-2</v>
      </c>
      <c r="I15" s="25">
        <v>0.02</v>
      </c>
      <c r="J15" s="39">
        <v>15</v>
      </c>
    </row>
    <row r="16" spans="1:12" ht="16.5" thickBot="1" x14ac:dyDescent="0.3">
      <c r="A16" s="50" t="s">
        <v>15</v>
      </c>
      <c r="B16" s="51"/>
      <c r="C16" s="51"/>
      <c r="D16" s="51"/>
      <c r="E16" s="52"/>
      <c r="F16" s="26">
        <f>SUM(F14:F15)</f>
        <v>7</v>
      </c>
      <c r="G16" s="26">
        <f>SUM(G14:G15)</f>
        <v>181.20699999999999</v>
      </c>
      <c r="H16" s="26">
        <f>SUM(H14:H15)</f>
        <v>2.2269999999999999</v>
      </c>
      <c r="I16" s="26">
        <f>SUM(I14:I15)</f>
        <v>0.36100000000000004</v>
      </c>
      <c r="J16" s="26">
        <f>SUM(J14:J15)</f>
        <v>42.972999999999999</v>
      </c>
    </row>
    <row r="17" spans="1:11" x14ac:dyDescent="0.25">
      <c r="A17" s="61" t="s">
        <v>52</v>
      </c>
      <c r="B17" s="27" t="s">
        <v>16</v>
      </c>
      <c r="C17" s="28" t="s">
        <v>56</v>
      </c>
      <c r="D17" s="28" t="s">
        <v>59</v>
      </c>
      <c r="E17" s="20" t="s">
        <v>60</v>
      </c>
      <c r="F17" s="21">
        <v>12.59</v>
      </c>
      <c r="G17" s="21">
        <f>468*0.25+211*0.1</f>
        <v>138.1</v>
      </c>
      <c r="H17" s="21">
        <f>9.54*0.25+21.1*0.1</f>
        <v>4.4950000000000001</v>
      </c>
      <c r="I17" s="21">
        <f>20.31*0.25+13.6*0.1</f>
        <v>6.4375</v>
      </c>
      <c r="J17" s="22">
        <f>51.98*0.25+0</f>
        <v>12.994999999999999</v>
      </c>
      <c r="K17"/>
    </row>
    <row r="18" spans="1:11" x14ac:dyDescent="0.25">
      <c r="A18" s="62"/>
      <c r="B18" s="13" t="s">
        <v>13</v>
      </c>
      <c r="C18" s="10" t="s">
        <v>37</v>
      </c>
      <c r="D18" s="10" t="s">
        <v>38</v>
      </c>
      <c r="E18" s="23">
        <v>47</v>
      </c>
      <c r="F18" s="12">
        <v>20.04</v>
      </c>
      <c r="G18" s="30">
        <f>182/50*47</f>
        <v>171.08</v>
      </c>
      <c r="H18" s="30">
        <f>6.74/50*47</f>
        <v>6.3356000000000003</v>
      </c>
      <c r="I18" s="30">
        <f>13.91/50*47</f>
        <v>13.0754</v>
      </c>
      <c r="J18" s="31">
        <f>7.09/50*47</f>
        <v>6.6646000000000001</v>
      </c>
      <c r="K18"/>
    </row>
    <row r="19" spans="1:11" x14ac:dyDescent="0.25">
      <c r="A19" s="62"/>
      <c r="B19" s="13" t="s">
        <v>17</v>
      </c>
      <c r="C19" s="10" t="s">
        <v>61</v>
      </c>
      <c r="D19" s="10" t="s">
        <v>62</v>
      </c>
      <c r="E19" s="23">
        <v>100</v>
      </c>
      <c r="F19" s="12">
        <v>7.57</v>
      </c>
      <c r="G19" s="30">
        <f>1398*0.1</f>
        <v>139.80000000000001</v>
      </c>
      <c r="H19" s="30">
        <f>24.34*0.1</f>
        <v>2.4340000000000002</v>
      </c>
      <c r="I19" s="30">
        <f>35.83*0.1</f>
        <v>3.5830000000000002</v>
      </c>
      <c r="J19" s="31">
        <f>244.56*0.1</f>
        <v>24.456000000000003</v>
      </c>
      <c r="K19"/>
    </row>
    <row r="20" spans="1:11" s="41" customFormat="1" x14ac:dyDescent="0.25">
      <c r="A20" s="62"/>
      <c r="B20" s="13" t="s">
        <v>18</v>
      </c>
      <c r="C20" s="10" t="s">
        <v>19</v>
      </c>
      <c r="D20" s="10" t="s">
        <v>20</v>
      </c>
      <c r="E20" s="23" t="s">
        <v>34</v>
      </c>
      <c r="F20" s="12">
        <v>2.72</v>
      </c>
      <c r="G20" s="12">
        <v>60</v>
      </c>
      <c r="H20" s="12">
        <v>7.0000000000000007E-2</v>
      </c>
      <c r="I20" s="12">
        <v>0.02</v>
      </c>
      <c r="J20" s="14">
        <v>15</v>
      </c>
      <c r="K20"/>
    </row>
    <row r="21" spans="1:11" ht="15.75" thickBot="1" x14ac:dyDescent="0.3">
      <c r="A21" s="62"/>
      <c r="B21" s="13" t="s">
        <v>14</v>
      </c>
      <c r="C21" s="10" t="s">
        <v>32</v>
      </c>
      <c r="D21" s="10" t="s">
        <v>33</v>
      </c>
      <c r="E21" s="23">
        <v>51</v>
      </c>
      <c r="F21" s="12">
        <v>2.08</v>
      </c>
      <c r="G21" s="12">
        <f>229.7*0.51</f>
        <v>117.14699999999999</v>
      </c>
      <c r="H21" s="11">
        <f>6.7*0.51</f>
        <v>3.4170000000000003</v>
      </c>
      <c r="I21" s="11">
        <f>1.1*0.51</f>
        <v>0.56100000000000005</v>
      </c>
      <c r="J21" s="15">
        <f>48.3*0.51</f>
        <v>24.632999999999999</v>
      </c>
    </row>
    <row r="22" spans="1:11" ht="16.5" thickBot="1" x14ac:dyDescent="0.3">
      <c r="A22" s="53" t="s">
        <v>15</v>
      </c>
      <c r="B22" s="54"/>
      <c r="C22" s="54"/>
      <c r="D22" s="54"/>
      <c r="E22" s="55"/>
      <c r="F22" s="33">
        <f>SUM(F17:F21)</f>
        <v>44.999999999999993</v>
      </c>
      <c r="G22" s="33">
        <f>SUM(G17:G21)</f>
        <v>626.12699999999995</v>
      </c>
      <c r="H22" s="33">
        <f>SUM(H17:H21)</f>
        <v>16.751600000000003</v>
      </c>
      <c r="I22" s="33">
        <f>SUM(I17:I21)</f>
        <v>23.6769</v>
      </c>
      <c r="J22" s="33">
        <f>SUM(J17:J21)</f>
        <v>83.748599999999996</v>
      </c>
    </row>
    <row r="23" spans="1:11" x14ac:dyDescent="0.25">
      <c r="A23" s="56" t="s">
        <v>53</v>
      </c>
      <c r="B23" s="27" t="s">
        <v>16</v>
      </c>
      <c r="C23" s="28" t="s">
        <v>56</v>
      </c>
      <c r="D23" s="28" t="s">
        <v>59</v>
      </c>
      <c r="E23" s="20" t="s">
        <v>60</v>
      </c>
      <c r="F23" s="21">
        <v>12.59</v>
      </c>
      <c r="G23" s="21">
        <f>468*0.25+211*0.1</f>
        <v>138.1</v>
      </c>
      <c r="H23" s="21">
        <f>9.54*0.25+21.1*0.1</f>
        <v>4.4950000000000001</v>
      </c>
      <c r="I23" s="21">
        <f>20.31*0.25+13.6*0.1</f>
        <v>6.4375</v>
      </c>
      <c r="J23" s="22">
        <f>51.98*0.25+0</f>
        <v>12.994999999999999</v>
      </c>
      <c r="K23"/>
    </row>
    <row r="24" spans="1:11" x14ac:dyDescent="0.25">
      <c r="A24" s="57"/>
      <c r="B24" s="13" t="s">
        <v>13</v>
      </c>
      <c r="C24" s="10" t="s">
        <v>37</v>
      </c>
      <c r="D24" s="10" t="s">
        <v>38</v>
      </c>
      <c r="E24" s="23">
        <v>60</v>
      </c>
      <c r="F24" s="12">
        <v>25.58</v>
      </c>
      <c r="G24" s="30">
        <f>182/50*60</f>
        <v>218.4</v>
      </c>
      <c r="H24" s="30">
        <f>6.74/50*60</f>
        <v>8.088000000000001</v>
      </c>
      <c r="I24" s="30">
        <f>13.91/50*60</f>
        <v>16.692</v>
      </c>
      <c r="J24" s="31">
        <f>7.09/50*60</f>
        <v>8.5080000000000009</v>
      </c>
      <c r="K24"/>
    </row>
    <row r="25" spans="1:11" x14ac:dyDescent="0.25">
      <c r="A25" s="57"/>
      <c r="B25" s="13" t="s">
        <v>17</v>
      </c>
      <c r="C25" s="10" t="s">
        <v>61</v>
      </c>
      <c r="D25" s="10" t="s">
        <v>62</v>
      </c>
      <c r="E25" s="23">
        <v>100</v>
      </c>
      <c r="F25" s="12">
        <v>7.57</v>
      </c>
      <c r="G25" s="30">
        <f>1398*0.1</f>
        <v>139.80000000000001</v>
      </c>
      <c r="H25" s="30">
        <f>24.34*0.1</f>
        <v>2.4340000000000002</v>
      </c>
      <c r="I25" s="30">
        <f>35.83*0.1</f>
        <v>3.5830000000000002</v>
      </c>
      <c r="J25" s="31">
        <f>244.56*0.1</f>
        <v>24.456000000000003</v>
      </c>
      <c r="K25"/>
    </row>
    <row r="26" spans="1:11" x14ac:dyDescent="0.25">
      <c r="A26" s="57"/>
      <c r="B26" s="13" t="s">
        <v>18</v>
      </c>
      <c r="C26" s="10" t="s">
        <v>19</v>
      </c>
      <c r="D26" s="10" t="s">
        <v>20</v>
      </c>
      <c r="E26" s="23" t="s">
        <v>34</v>
      </c>
      <c r="F26" s="12">
        <v>2.72</v>
      </c>
      <c r="G26" s="12">
        <v>60</v>
      </c>
      <c r="H26" s="12">
        <v>7.0000000000000007E-2</v>
      </c>
      <c r="I26" s="12">
        <v>0.02</v>
      </c>
      <c r="J26" s="14">
        <v>15</v>
      </c>
      <c r="K26"/>
    </row>
    <row r="27" spans="1:11" x14ac:dyDescent="0.25">
      <c r="A27" s="57"/>
      <c r="B27" s="13" t="s">
        <v>14</v>
      </c>
      <c r="C27" s="10" t="s">
        <v>32</v>
      </c>
      <c r="D27" s="10" t="s">
        <v>33</v>
      </c>
      <c r="E27" s="23">
        <v>16.5</v>
      </c>
      <c r="F27" s="12">
        <v>0.68</v>
      </c>
      <c r="G27" s="12">
        <f>229.7*0.165</f>
        <v>37.900500000000001</v>
      </c>
      <c r="H27" s="11">
        <f>6.7*0.165</f>
        <v>1.1055000000000001</v>
      </c>
      <c r="I27" s="11">
        <f>1.1*0.165</f>
        <v>0.18150000000000002</v>
      </c>
      <c r="J27" s="15">
        <f>48.3*0.165</f>
        <v>7.9695</v>
      </c>
    </row>
    <row r="28" spans="1:11" ht="15.75" thickBot="1" x14ac:dyDescent="0.3">
      <c r="A28" s="57"/>
      <c r="B28" s="16" t="s">
        <v>35</v>
      </c>
      <c r="C28" s="17" t="s">
        <v>36</v>
      </c>
      <c r="D28" s="17" t="s">
        <v>63</v>
      </c>
      <c r="E28" s="24">
        <v>100</v>
      </c>
      <c r="F28" s="25">
        <v>20.36</v>
      </c>
      <c r="G28" s="25">
        <f>38</f>
        <v>38</v>
      </c>
      <c r="H28" s="18">
        <f>0.8</f>
        <v>0.8</v>
      </c>
      <c r="I28" s="18">
        <f>0.2</f>
        <v>0.2</v>
      </c>
      <c r="J28" s="19">
        <f>7.5</f>
        <v>7.5</v>
      </c>
    </row>
    <row r="29" spans="1:11" ht="16.5" thickBot="1" x14ac:dyDescent="0.3">
      <c r="A29" s="53" t="s">
        <v>15</v>
      </c>
      <c r="B29" s="76"/>
      <c r="C29" s="76"/>
      <c r="D29" s="76"/>
      <c r="E29" s="77"/>
      <c r="F29" s="78">
        <f>SUM(F23:F28)</f>
        <v>69.5</v>
      </c>
      <c r="G29" s="78">
        <f>SUM(G23:G28)</f>
        <v>632.20049999999992</v>
      </c>
      <c r="H29" s="78">
        <f>SUM(H23:H28)</f>
        <v>16.992500000000003</v>
      </c>
      <c r="I29" s="78">
        <f>SUM(I23:I28)</f>
        <v>27.113999999999997</v>
      </c>
      <c r="J29" s="79">
        <f>SUM(J23:J28)</f>
        <v>76.4285</v>
      </c>
      <c r="K29"/>
    </row>
    <row r="31" spans="1:11" ht="15.75" thickBot="1" x14ac:dyDescent="0.3">
      <c r="A31" s="48" t="s">
        <v>25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1" ht="15.75" x14ac:dyDescent="0.25">
      <c r="A32" s="29"/>
      <c r="B32" s="29"/>
      <c r="C32" s="47" t="s">
        <v>23</v>
      </c>
      <c r="D32" s="47"/>
      <c r="G32" s="49"/>
      <c r="H32" s="49"/>
      <c r="I32" s="49"/>
      <c r="J32" s="49"/>
    </row>
    <row r="33" spans="1:4" x14ac:dyDescent="0.25">
      <c r="A33" s="1"/>
      <c r="B33" s="1"/>
      <c r="C33" s="1"/>
      <c r="D33" s="1"/>
    </row>
    <row r="34" spans="1:4" x14ac:dyDescent="0.25">
      <c r="A34" s="60" t="s">
        <v>24</v>
      </c>
      <c r="B34" s="60"/>
    </row>
    <row r="35" spans="1:4" x14ac:dyDescent="0.25">
      <c r="A35" s="60" t="s">
        <v>26</v>
      </c>
      <c r="B35" s="60"/>
    </row>
    <row r="36" spans="1:4" x14ac:dyDescent="0.25">
      <c r="A36" s="37"/>
    </row>
  </sheetData>
  <mergeCells count="17">
    <mergeCell ref="A34:B34"/>
    <mergeCell ref="A35:B35"/>
    <mergeCell ref="A9:A12"/>
    <mergeCell ref="A13:E13"/>
    <mergeCell ref="A14:A15"/>
    <mergeCell ref="A16:E16"/>
    <mergeCell ref="A23:A28"/>
    <mergeCell ref="A29:E29"/>
    <mergeCell ref="A31:J31"/>
    <mergeCell ref="C32:D32"/>
    <mergeCell ref="G32:J32"/>
    <mergeCell ref="A22:E22"/>
    <mergeCell ref="B1:C1"/>
    <mergeCell ref="G1:J1"/>
    <mergeCell ref="A3:A7"/>
    <mergeCell ref="A8:E8"/>
    <mergeCell ref="A17:A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11.01 1-4 кл</vt:lpstr>
      <vt:lpstr>11.01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2022-01-10T12:03:57Z</dcterms:modified>
</cp:coreProperties>
</file>