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7.01 1-4 кл" sheetId="1" r:id="rId1"/>
    <sheet name="17.0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6" i="2"/>
  <c r="I26" i="2"/>
  <c r="H26" i="2"/>
  <c r="G26" i="2"/>
  <c r="J24" i="2"/>
  <c r="I24" i="2"/>
  <c r="H24" i="2"/>
  <c r="G24" i="2"/>
  <c r="J28" i="2"/>
  <c r="I28" i="2"/>
  <c r="H28" i="2"/>
  <c r="G28" i="2"/>
  <c r="J27" i="2"/>
  <c r="I27" i="2"/>
  <c r="H27" i="2"/>
  <c r="G27" i="2"/>
  <c r="J25" i="2"/>
  <c r="I25" i="2"/>
  <c r="H25" i="2"/>
  <c r="G25" i="2"/>
  <c r="J22" i="2"/>
  <c r="I22" i="2"/>
  <c r="H22" i="2"/>
  <c r="G22" i="2"/>
  <c r="J20" i="2"/>
  <c r="I20" i="2"/>
  <c r="H20" i="2"/>
  <c r="G20" i="2"/>
  <c r="J19" i="2"/>
  <c r="I19" i="2"/>
  <c r="H19" i="2"/>
  <c r="G19" i="2"/>
  <c r="J18" i="2"/>
  <c r="I18" i="2"/>
  <c r="H18" i="2"/>
  <c r="G18" i="2"/>
  <c r="J13" i="2" l="1"/>
  <c r="I13" i="2"/>
  <c r="H13" i="2"/>
  <c r="G13" i="2"/>
  <c r="J10" i="2"/>
  <c r="I10" i="2"/>
  <c r="H10" i="2"/>
  <c r="G10" i="2"/>
  <c r="G27" i="1"/>
  <c r="H27" i="1"/>
  <c r="I27" i="1"/>
  <c r="J27" i="1"/>
  <c r="F27" i="1"/>
  <c r="J26" i="1"/>
  <c r="I26" i="1"/>
  <c r="H26" i="1"/>
  <c r="G26" i="1"/>
  <c r="J22" i="1"/>
  <c r="I22" i="1"/>
  <c r="H22" i="1"/>
  <c r="G22" i="1"/>
  <c r="J14" i="1"/>
  <c r="I14" i="1"/>
  <c r="H14" i="1"/>
  <c r="G14" i="1"/>
  <c r="J11" i="1"/>
  <c r="I11" i="1"/>
  <c r="H11" i="1"/>
  <c r="G11" i="1"/>
  <c r="J16" i="1"/>
  <c r="I16" i="1"/>
  <c r="H16" i="1"/>
  <c r="G16" i="1"/>
  <c r="J17" i="1" l="1"/>
  <c r="I17" i="1"/>
  <c r="H17" i="1"/>
  <c r="G17" i="1"/>
  <c r="J10" i="1"/>
  <c r="I10" i="1"/>
  <c r="H10" i="1"/>
  <c r="G10" i="1"/>
  <c r="J7" i="2"/>
  <c r="I7" i="2"/>
  <c r="H7" i="2"/>
  <c r="G7" i="2"/>
  <c r="G3" i="2"/>
  <c r="J8" i="1"/>
  <c r="I8" i="1"/>
  <c r="H8" i="1"/>
  <c r="G8" i="1"/>
  <c r="J7" i="1"/>
  <c r="I7" i="1"/>
  <c r="H7" i="1"/>
  <c r="G7" i="1"/>
  <c r="J4" i="1"/>
  <c r="I4" i="1"/>
  <c r="H4" i="1"/>
  <c r="G4" i="1"/>
  <c r="J3" i="1"/>
  <c r="I3" i="1"/>
  <c r="H3" i="1"/>
  <c r="G3" i="1"/>
  <c r="I3" i="2"/>
  <c r="H3" i="2"/>
  <c r="F9" i="2"/>
  <c r="J3" i="2"/>
  <c r="G8" i="2" l="1"/>
  <c r="H8" i="2"/>
  <c r="I8" i="2"/>
  <c r="J8" i="2"/>
  <c r="F23" i="1" l="1"/>
  <c r="F15" i="1" l="1"/>
  <c r="J4" i="2"/>
  <c r="I4" i="2"/>
  <c r="H4" i="2"/>
  <c r="G4" i="2"/>
  <c r="J18" i="1" l="1"/>
  <c r="I18" i="1"/>
  <c r="H18" i="1"/>
  <c r="G18" i="1"/>
  <c r="J19" i="1" l="1"/>
  <c r="I19" i="1"/>
  <c r="H19" i="1"/>
  <c r="G19" i="1"/>
  <c r="I9" i="1"/>
  <c r="F9" i="1"/>
  <c r="H9" i="1"/>
  <c r="G9" i="1"/>
  <c r="J9" i="1"/>
  <c r="G30" i="2" l="1"/>
  <c r="H30" i="2"/>
  <c r="I30" i="2"/>
  <c r="J30" i="2"/>
  <c r="F30" i="2"/>
  <c r="J21" i="1"/>
  <c r="I21" i="1"/>
  <c r="H21" i="1"/>
  <c r="G21" i="1"/>
  <c r="F14" i="2" l="1"/>
  <c r="J14" i="2"/>
  <c r="I14" i="2"/>
  <c r="H14" i="2"/>
  <c r="G14" i="2"/>
  <c r="J20" i="1" l="1"/>
  <c r="I20" i="1"/>
  <c r="H20" i="1"/>
  <c r="G20" i="1"/>
  <c r="J12" i="1" l="1"/>
  <c r="I12" i="1"/>
  <c r="H12" i="1"/>
  <c r="G12" i="1"/>
  <c r="J15" i="1"/>
  <c r="I15" i="1"/>
  <c r="H15" i="1"/>
  <c r="G15" i="1"/>
  <c r="F23" i="2" l="1"/>
  <c r="J23" i="2"/>
  <c r="I23" i="2"/>
  <c r="H23" i="2"/>
  <c r="G23" i="2"/>
  <c r="F17" i="2"/>
  <c r="J17" i="2"/>
  <c r="I17" i="2"/>
  <c r="H17" i="2"/>
  <c r="G17" i="2"/>
  <c r="J23" i="1" l="1"/>
  <c r="I23" i="1"/>
  <c r="H23" i="1"/>
  <c r="G23" i="1"/>
  <c r="J9" i="2"/>
  <c r="I9" i="2"/>
  <c r="H9" i="2"/>
  <c r="G9" i="2"/>
</calcChain>
</file>

<file path=xl/sharedStrings.xml><?xml version="1.0" encoding="utf-8"?>
<sst xmlns="http://schemas.openxmlformats.org/spreadsheetml/2006/main" count="198" uniqueCount="72">
  <si>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</si>
  <si>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</si>
  <si>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</si>
  <si>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</si>
  <si>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</si>
  <si>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</si>
  <si>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</si>
  <si>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</si>
  <si>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</si>
  <si>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</si>
  <si>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</si>
  <si>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</si>
  <si>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</si>
  <si>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</si>
  <si>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</si>
  <si>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</si>
  <si>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</si>
  <si>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</si>
  <si>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</si>
  <si>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</si>
  <si>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</si>
  <si>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</si>
  <si>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</si>
  <si>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</si>
  <si>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</si>
  <si>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</si>
  <si>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</si>
  <si>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</si>
  <si>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</si>
  <si>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</si>
  <si>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</si>
  <si>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</si>
  <si>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</si>
  <si>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</si>
  <si>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</si>
  <si>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</si>
  <si>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</si>
  <si>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</si>
  <si>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</si>
  <si>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</si>
  <si>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</si>
  <si>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</si>
  <si>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№295-2015г.</t>
  </si>
  <si>
    <t>Котлета рубленая из бройлер-цыплят</t>
  </si>
  <si>
    <t>№309-2015г.</t>
  </si>
  <si>
    <t>Макароны отварные</t>
  </si>
  <si>
    <t>Фрукт</t>
  </si>
  <si>
    <t>№338-2015г.</t>
  </si>
  <si>
    <t>№88-2015г.</t>
  </si>
  <si>
    <t>Напиток (сладкое блюдо)</t>
  </si>
  <si>
    <t>№348-2015г.</t>
  </si>
  <si>
    <t>Компот из кураги</t>
  </si>
  <si>
    <t>№382-2015г.</t>
  </si>
  <si>
    <t>Какао с молоком</t>
  </si>
  <si>
    <t>№173-2015г.</t>
  </si>
  <si>
    <t>Каша вязкая молочная из пшённой крупы с маслом</t>
  </si>
  <si>
    <t>200/10</t>
  </si>
  <si>
    <t>№422-2015г.</t>
  </si>
  <si>
    <t>Булочка ванильная</t>
  </si>
  <si>
    <t>202/15</t>
  </si>
  <si>
    <t>Фрукт свежий (мандарин )</t>
  </si>
  <si>
    <t>№410,468-2015г.</t>
  </si>
  <si>
    <t>Ватрушка из дрожжевого теста с творожным фаршем</t>
  </si>
  <si>
    <t>№424-2015г.</t>
  </si>
  <si>
    <t>Булочка домашная</t>
  </si>
  <si>
    <t>№15-2015г.</t>
  </si>
  <si>
    <t>Сыр "Российский" (порциями)</t>
  </si>
  <si>
    <t>Щи из свежей капусты с картофелем со сметаной и зеленью</t>
  </si>
  <si>
    <t>№71-2015г.</t>
  </si>
  <si>
    <t>Овощи натуральные свежие (помидоры)</t>
  </si>
  <si>
    <t>Кондитерское изделие</t>
  </si>
  <si>
    <t>Печенье "Цветочек"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</si>
</sst>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/>
    <xf numFmtId="2" fontId="2" fillId="0" borderId="26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49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0" workbookViewId="0">
      <selection activeCell="B16" sqref="B16:J22"/>
    </sheetView>
  </sheetViews>
  <sheetFormatPr defaultRowHeight="15" x14ac:dyDescent="0.25"/>
  <cols>
    <col min="1" max="1" width="21.140625" style="4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39" t="s">
        <v>0</v>
      </c>
      <c r="B1" s="60" t="s">
        <v>22</v>
      </c>
      <c r="C1" s="61"/>
      <c r="D1" s="1" t="s">
        <v>1</v>
      </c>
      <c r="E1" s="29"/>
      <c r="F1" s="1" t="s">
        <v>2</v>
      </c>
      <c r="G1" s="62">
        <v>44578</v>
      </c>
      <c r="H1" s="63"/>
      <c r="I1" s="63"/>
      <c r="J1" s="64"/>
      <c r="K1" s="1"/>
      <c r="L1" s="1"/>
    </row>
    <row r="2" spans="1:12" ht="15.75" thickBot="1" x14ac:dyDescent="0.3">
      <c r="A2" s="43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47" t="s">
        <v>12</v>
      </c>
    </row>
    <row r="3" spans="1:12" s="38" customFormat="1" x14ac:dyDescent="0.25">
      <c r="A3" s="52" t="s">
        <v>27</v>
      </c>
      <c r="B3" s="86" t="s">
        <v>31</v>
      </c>
      <c r="C3" s="14" t="s">
        <v>65</v>
      </c>
      <c r="D3" s="14" t="s">
        <v>66</v>
      </c>
      <c r="E3" s="15">
        <v>25</v>
      </c>
      <c r="F3" s="15">
        <v>22.29</v>
      </c>
      <c r="G3" s="16">
        <f>3.6*25</f>
        <v>90</v>
      </c>
      <c r="H3" s="16">
        <f>6.96/30*25</f>
        <v>5.8000000000000007</v>
      </c>
      <c r="I3" s="16">
        <f>8.85/30*25</f>
        <v>7.375</v>
      </c>
      <c r="J3" s="17">
        <f>0</f>
        <v>0</v>
      </c>
    </row>
    <row r="4" spans="1:12" s="49" customFormat="1" ht="30" x14ac:dyDescent="0.25">
      <c r="A4" s="52"/>
      <c r="B4" s="7" t="s">
        <v>13</v>
      </c>
      <c r="C4" s="4" t="s">
        <v>54</v>
      </c>
      <c r="D4" s="4" t="s">
        <v>55</v>
      </c>
      <c r="E4" s="18" t="s">
        <v>56</v>
      </c>
      <c r="F4" s="6">
        <v>19.899999999999999</v>
      </c>
      <c r="G4" s="6">
        <f>289</f>
        <v>289</v>
      </c>
      <c r="H4" s="6">
        <f>8.2</f>
        <v>8.1999999999999993</v>
      </c>
      <c r="I4" s="6">
        <f>10.6</f>
        <v>10.6</v>
      </c>
      <c r="J4" s="8">
        <f>40.1</f>
        <v>40.1</v>
      </c>
    </row>
    <row r="5" spans="1:12" s="49" customFormat="1" x14ac:dyDescent="0.25">
      <c r="A5" s="52"/>
      <c r="B5" s="7" t="s">
        <v>18</v>
      </c>
      <c r="C5" s="4" t="s">
        <v>52</v>
      </c>
      <c r="D5" s="4" t="s">
        <v>53</v>
      </c>
      <c r="E5" s="18">
        <v>200</v>
      </c>
      <c r="F5" s="6">
        <v>13.73</v>
      </c>
      <c r="G5" s="6">
        <v>136</v>
      </c>
      <c r="H5" s="27">
        <v>3.64</v>
      </c>
      <c r="I5" s="27">
        <v>3.35</v>
      </c>
      <c r="J5" s="28">
        <v>22.82</v>
      </c>
    </row>
    <row r="6" spans="1:12" s="38" customFormat="1" x14ac:dyDescent="0.25">
      <c r="A6" s="52"/>
      <c r="B6" s="7" t="s">
        <v>21</v>
      </c>
      <c r="C6" s="4" t="s">
        <v>63</v>
      </c>
      <c r="D6" s="4" t="s">
        <v>64</v>
      </c>
      <c r="E6" s="18">
        <v>50</v>
      </c>
      <c r="F6" s="6">
        <v>4.2</v>
      </c>
      <c r="G6" s="6">
        <v>159</v>
      </c>
      <c r="H6" s="5">
        <v>3.64</v>
      </c>
      <c r="I6" s="5">
        <v>6.26</v>
      </c>
      <c r="J6" s="9">
        <v>21.96</v>
      </c>
      <c r="K6"/>
    </row>
    <row r="7" spans="1:12" s="26" customFormat="1" x14ac:dyDescent="0.25">
      <c r="A7" s="52"/>
      <c r="B7" s="7" t="s">
        <v>14</v>
      </c>
      <c r="C7" s="4" t="s">
        <v>32</v>
      </c>
      <c r="D7" s="4" t="s">
        <v>33</v>
      </c>
      <c r="E7" s="18">
        <v>15</v>
      </c>
      <c r="F7" s="6">
        <v>0.61</v>
      </c>
      <c r="G7" s="6">
        <f>229.7*0.15</f>
        <v>34.454999999999998</v>
      </c>
      <c r="H7" s="5">
        <f>6.7*0.15</f>
        <v>1.0049999999999999</v>
      </c>
      <c r="I7" s="5">
        <f>1.1*0.15</f>
        <v>0.16500000000000001</v>
      </c>
      <c r="J7" s="9">
        <f>48.3*0.15</f>
        <v>7.2449999999999992</v>
      </c>
    </row>
    <row r="8" spans="1:12" s="26" customFormat="1" ht="15.75" thickBot="1" x14ac:dyDescent="0.3">
      <c r="A8" s="53"/>
      <c r="B8" s="10" t="s">
        <v>46</v>
      </c>
      <c r="C8" s="11" t="s">
        <v>47</v>
      </c>
      <c r="D8" s="11" t="s">
        <v>60</v>
      </c>
      <c r="E8" s="19">
        <v>100</v>
      </c>
      <c r="F8" s="20">
        <v>14</v>
      </c>
      <c r="G8" s="36">
        <f>38*1</f>
        <v>38</v>
      </c>
      <c r="H8" s="36">
        <f>0.8*1</f>
        <v>0.8</v>
      </c>
      <c r="I8" s="36">
        <f>0.2*1</f>
        <v>0.2</v>
      </c>
      <c r="J8" s="37">
        <f>7.5*1</f>
        <v>7.5</v>
      </c>
    </row>
    <row r="9" spans="1:12" ht="16.5" thickBot="1" x14ac:dyDescent="0.3">
      <c r="A9" s="68" t="s">
        <v>15</v>
      </c>
      <c r="B9" s="69"/>
      <c r="C9" s="69"/>
      <c r="D9" s="69"/>
      <c r="E9" s="70"/>
      <c r="F9" s="21">
        <f>SUM(F3:F8)</f>
        <v>74.73</v>
      </c>
      <c r="G9" s="21">
        <f>SUM(G3:G8)</f>
        <v>746.45500000000004</v>
      </c>
      <c r="H9" s="21">
        <f>SUM(H3:H8)</f>
        <v>23.085000000000001</v>
      </c>
      <c r="I9" s="21">
        <f>SUM(I3:I8)</f>
        <v>27.95</v>
      </c>
      <c r="J9" s="21">
        <f>SUM(J3:J8)</f>
        <v>99.625</v>
      </c>
    </row>
    <row r="10" spans="1:12" ht="30" x14ac:dyDescent="0.25">
      <c r="A10" s="54" t="s">
        <v>28</v>
      </c>
      <c r="B10" s="22" t="s">
        <v>16</v>
      </c>
      <c r="C10" s="23" t="s">
        <v>48</v>
      </c>
      <c r="D10" s="23" t="s">
        <v>67</v>
      </c>
      <c r="E10" s="15" t="s">
        <v>35</v>
      </c>
      <c r="F10" s="16">
        <v>13.95</v>
      </c>
      <c r="G10" s="16">
        <f>359*0.25+162*0.1</f>
        <v>105.95</v>
      </c>
      <c r="H10" s="16">
        <f>7.06*0.25+2.6*0.1</f>
        <v>2.0249999999999999</v>
      </c>
      <c r="I10" s="16">
        <f>19.8*0.25+15*0.1</f>
        <v>6.45</v>
      </c>
      <c r="J10" s="17">
        <f>31.61*0.25+3.6*0.1</f>
        <v>8.2624999999999993</v>
      </c>
      <c r="K10"/>
    </row>
    <row r="11" spans="1:12" x14ac:dyDescent="0.25">
      <c r="A11" s="55"/>
      <c r="B11" s="7" t="s">
        <v>13</v>
      </c>
      <c r="C11" s="4" t="s">
        <v>42</v>
      </c>
      <c r="D11" s="4" t="s">
        <v>43</v>
      </c>
      <c r="E11" s="18">
        <v>40</v>
      </c>
      <c r="F11" s="6">
        <v>17.88</v>
      </c>
      <c r="G11" s="6">
        <f>161*0.8</f>
        <v>128.80000000000001</v>
      </c>
      <c r="H11" s="6">
        <f>7.61*0.8</f>
        <v>6.088000000000001</v>
      </c>
      <c r="I11" s="6">
        <f>11.07*0.8</f>
        <v>8.8559999999999999</v>
      </c>
      <c r="J11" s="8">
        <f>7.66*0.8</f>
        <v>6.1280000000000001</v>
      </c>
      <c r="K11"/>
    </row>
    <row r="12" spans="1:12" s="26" customFormat="1" x14ac:dyDescent="0.25">
      <c r="A12" s="55"/>
      <c r="B12" s="7" t="s">
        <v>17</v>
      </c>
      <c r="C12" s="4" t="s">
        <v>44</v>
      </c>
      <c r="D12" s="4" t="s">
        <v>45</v>
      </c>
      <c r="E12" s="18">
        <v>100</v>
      </c>
      <c r="F12" s="6">
        <v>7.87</v>
      </c>
      <c r="G12" s="6">
        <f>1123*0.1</f>
        <v>112.30000000000001</v>
      </c>
      <c r="H12" s="6">
        <f>36.78*0.1</f>
        <v>3.6780000000000004</v>
      </c>
      <c r="I12" s="6">
        <f>30.1*0.1</f>
        <v>3.0100000000000002</v>
      </c>
      <c r="J12" s="8">
        <f>176.3*0.1</f>
        <v>17.630000000000003</v>
      </c>
    </row>
    <row r="13" spans="1:12" x14ac:dyDescent="0.25">
      <c r="A13" s="55"/>
      <c r="B13" s="7" t="s">
        <v>18</v>
      </c>
      <c r="C13" s="4" t="s">
        <v>19</v>
      </c>
      <c r="D13" s="4" t="s">
        <v>20</v>
      </c>
      <c r="E13" s="18" t="s">
        <v>34</v>
      </c>
      <c r="F13" s="6">
        <v>2.72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55"/>
      <c r="B14" s="10" t="s">
        <v>14</v>
      </c>
      <c r="C14" s="11" t="s">
        <v>32</v>
      </c>
      <c r="D14" s="11" t="s">
        <v>33</v>
      </c>
      <c r="E14" s="19">
        <v>52</v>
      </c>
      <c r="F14" s="20">
        <v>2.11</v>
      </c>
      <c r="G14" s="20">
        <f>229.7*0.52</f>
        <v>119.444</v>
      </c>
      <c r="H14" s="12">
        <f>6.7*0.52</f>
        <v>3.4840000000000004</v>
      </c>
      <c r="I14" s="12">
        <f>1.1*0.52</f>
        <v>0.57200000000000006</v>
      </c>
      <c r="J14" s="13">
        <f>48.3*0.52</f>
        <v>25.116</v>
      </c>
    </row>
    <row r="15" spans="1:12" ht="16.5" thickBot="1" x14ac:dyDescent="0.3">
      <c r="A15" s="68" t="s">
        <v>15</v>
      </c>
      <c r="B15" s="69"/>
      <c r="C15" s="69"/>
      <c r="D15" s="69"/>
      <c r="E15" s="70"/>
      <c r="F15" s="31">
        <f>SUM(F10:F14)</f>
        <v>44.529999999999994</v>
      </c>
      <c r="G15" s="31">
        <f t="shared" ref="G15:J15" si="0">SUM(G10:G14)</f>
        <v>526.49400000000003</v>
      </c>
      <c r="H15" s="31">
        <f t="shared" si="0"/>
        <v>15.345000000000002</v>
      </c>
      <c r="I15" s="31">
        <f t="shared" si="0"/>
        <v>18.908000000000001</v>
      </c>
      <c r="J15" s="31">
        <f t="shared" si="0"/>
        <v>72.136499999999998</v>
      </c>
    </row>
    <row r="16" spans="1:12" s="30" customFormat="1" ht="15.75" x14ac:dyDescent="0.25">
      <c r="A16" s="59" t="s">
        <v>29</v>
      </c>
      <c r="B16" s="32" t="s">
        <v>31</v>
      </c>
      <c r="C16" s="14" t="s">
        <v>68</v>
      </c>
      <c r="D16" s="14" t="s">
        <v>69</v>
      </c>
      <c r="E16" s="15">
        <v>25</v>
      </c>
      <c r="F16" s="16">
        <v>6.88</v>
      </c>
      <c r="G16" s="16">
        <f>24*0.25</f>
        <v>6</v>
      </c>
      <c r="H16" s="16">
        <f>1.1*0.25</f>
        <v>0.27500000000000002</v>
      </c>
      <c r="I16" s="16">
        <f>0.2*0.25</f>
        <v>0.05</v>
      </c>
      <c r="J16" s="17">
        <f>3.8*0.25</f>
        <v>0.95</v>
      </c>
    </row>
    <row r="17" spans="1:11" s="26" customFormat="1" ht="30" x14ac:dyDescent="0.25">
      <c r="A17" s="52"/>
      <c r="B17" s="7" t="s">
        <v>16</v>
      </c>
      <c r="C17" s="4" t="s">
        <v>48</v>
      </c>
      <c r="D17" s="4" t="s">
        <v>67</v>
      </c>
      <c r="E17" s="18" t="s">
        <v>35</v>
      </c>
      <c r="F17" s="6">
        <v>13.95</v>
      </c>
      <c r="G17" s="6">
        <f>359*0.25+162*0.1</f>
        <v>105.95</v>
      </c>
      <c r="H17" s="6">
        <f>7.06*0.25+2.6*0.1</f>
        <v>2.0249999999999999</v>
      </c>
      <c r="I17" s="6">
        <f>19.8*0.25+15*0.1</f>
        <v>6.45</v>
      </c>
      <c r="J17" s="8">
        <f>31.61*0.25+3.6*0.1</f>
        <v>8.2624999999999993</v>
      </c>
      <c r="K17"/>
    </row>
    <row r="18" spans="1:11" s="26" customFormat="1" x14ac:dyDescent="0.25">
      <c r="A18" s="52"/>
      <c r="B18" s="7" t="s">
        <v>13</v>
      </c>
      <c r="C18" s="4" t="s">
        <v>42</v>
      </c>
      <c r="D18" s="4" t="s">
        <v>43</v>
      </c>
      <c r="E18" s="18">
        <v>60</v>
      </c>
      <c r="F18" s="6">
        <v>26.82</v>
      </c>
      <c r="G18" s="6">
        <f>161*1.2</f>
        <v>193.2</v>
      </c>
      <c r="H18" s="6">
        <f>7.61*1.2</f>
        <v>9.1319999999999997</v>
      </c>
      <c r="I18" s="6">
        <f>11.07*1.2</f>
        <v>13.284000000000001</v>
      </c>
      <c r="J18" s="8">
        <f>7.66*1.2</f>
        <v>9.1920000000000002</v>
      </c>
      <c r="K18"/>
    </row>
    <row r="19" spans="1:11" s="44" customFormat="1" x14ac:dyDescent="0.25">
      <c r="A19" s="52"/>
      <c r="B19" s="7" t="s">
        <v>17</v>
      </c>
      <c r="C19" s="4" t="s">
        <v>44</v>
      </c>
      <c r="D19" s="4" t="s">
        <v>45</v>
      </c>
      <c r="E19" s="18">
        <v>100</v>
      </c>
      <c r="F19" s="6">
        <v>7.87</v>
      </c>
      <c r="G19" s="6">
        <f>1123*0.1</f>
        <v>112.30000000000001</v>
      </c>
      <c r="H19" s="6">
        <f>36.78*0.1</f>
        <v>3.6780000000000004</v>
      </c>
      <c r="I19" s="6">
        <f>30.1*0.1</f>
        <v>3.0100000000000002</v>
      </c>
      <c r="J19" s="8">
        <f>176.3*0.1</f>
        <v>17.630000000000003</v>
      </c>
    </row>
    <row r="20" spans="1:11" ht="15.75" x14ac:dyDescent="0.25">
      <c r="A20" s="52"/>
      <c r="B20" s="7" t="s">
        <v>49</v>
      </c>
      <c r="C20" s="34" t="s">
        <v>50</v>
      </c>
      <c r="D20" s="35" t="s">
        <v>51</v>
      </c>
      <c r="E20" s="18">
        <v>200</v>
      </c>
      <c r="F20" s="6">
        <v>14.44</v>
      </c>
      <c r="G20" s="6">
        <f>574*0.2</f>
        <v>114.80000000000001</v>
      </c>
      <c r="H20" s="27">
        <f>3.9*0.2</f>
        <v>0.78</v>
      </c>
      <c r="I20" s="27">
        <f>0.23*0.2</f>
        <v>4.6000000000000006E-2</v>
      </c>
      <c r="J20" s="28">
        <f>138.15*0.2</f>
        <v>27.630000000000003</v>
      </c>
      <c r="K20"/>
    </row>
    <row r="21" spans="1:11" s="38" customFormat="1" x14ac:dyDescent="0.25">
      <c r="A21" s="52"/>
      <c r="B21" s="7" t="s">
        <v>21</v>
      </c>
      <c r="C21" s="4" t="s">
        <v>57</v>
      </c>
      <c r="D21" s="4" t="s">
        <v>58</v>
      </c>
      <c r="E21" s="18">
        <v>50</v>
      </c>
      <c r="F21" s="6">
        <v>3.86</v>
      </c>
      <c r="G21" s="6">
        <f>283*0.5</f>
        <v>141.5</v>
      </c>
      <c r="H21" s="5">
        <f>7.9*0.5</f>
        <v>3.95</v>
      </c>
      <c r="I21" s="5">
        <f>8.12*0.5</f>
        <v>4.0599999999999996</v>
      </c>
      <c r="J21" s="9">
        <f>44.48*0.5</f>
        <v>22.24</v>
      </c>
    </row>
    <row r="22" spans="1:11" s="30" customFormat="1" ht="15.75" thickBot="1" x14ac:dyDescent="0.3">
      <c r="A22" s="53"/>
      <c r="B22" s="10" t="s">
        <v>14</v>
      </c>
      <c r="C22" s="11" t="s">
        <v>32</v>
      </c>
      <c r="D22" s="11" t="s">
        <v>33</v>
      </c>
      <c r="E22" s="19">
        <v>22.5</v>
      </c>
      <c r="F22" s="20">
        <v>0.91</v>
      </c>
      <c r="G22" s="20">
        <f>229.7*0.225</f>
        <v>51.682499999999997</v>
      </c>
      <c r="H22" s="12">
        <f>6.7*0.225</f>
        <v>1.5075000000000001</v>
      </c>
      <c r="I22" s="12">
        <f>1.1*0.225</f>
        <v>0.24750000000000003</v>
      </c>
      <c r="J22" s="13">
        <f>48.3*0.225</f>
        <v>10.8675</v>
      </c>
    </row>
    <row r="23" spans="1:11" ht="16.5" thickBot="1" x14ac:dyDescent="0.3">
      <c r="A23" s="56" t="s">
        <v>15</v>
      </c>
      <c r="B23" s="71"/>
      <c r="C23" s="71"/>
      <c r="D23" s="71"/>
      <c r="E23" s="72"/>
      <c r="F23" s="21">
        <f>SUM(F16:F22)</f>
        <v>74.72999999999999</v>
      </c>
      <c r="G23" s="21">
        <f t="shared" ref="G23:J23" si="1">SUM(G16:G22)</f>
        <v>725.4325</v>
      </c>
      <c r="H23" s="21">
        <f t="shared" si="1"/>
        <v>21.3475</v>
      </c>
      <c r="I23" s="21">
        <f t="shared" si="1"/>
        <v>27.147499999999997</v>
      </c>
      <c r="J23" s="21">
        <f t="shared" si="1"/>
        <v>96.771999999999991</v>
      </c>
      <c r="K23"/>
    </row>
    <row r="24" spans="1:11" s="49" customFormat="1" x14ac:dyDescent="0.25">
      <c r="A24" s="89" t="s">
        <v>30</v>
      </c>
      <c r="B24" s="22" t="s">
        <v>18</v>
      </c>
      <c r="C24" s="23" t="s">
        <v>19</v>
      </c>
      <c r="D24" s="23" t="s">
        <v>20</v>
      </c>
      <c r="E24" s="15" t="s">
        <v>34</v>
      </c>
      <c r="F24" s="16">
        <v>2.72</v>
      </c>
      <c r="G24" s="16">
        <v>60</v>
      </c>
      <c r="H24" s="16">
        <v>7.0000000000000007E-2</v>
      </c>
      <c r="I24" s="16">
        <v>0.02</v>
      </c>
      <c r="J24" s="17">
        <v>15</v>
      </c>
      <c r="K24"/>
    </row>
    <row r="25" spans="1:11" s="30" customFormat="1" ht="30" x14ac:dyDescent="0.25">
      <c r="A25" s="90"/>
      <c r="B25" s="7" t="s">
        <v>21</v>
      </c>
      <c r="C25" s="4" t="s">
        <v>61</v>
      </c>
      <c r="D25" s="4" t="s">
        <v>62</v>
      </c>
      <c r="E25" s="18">
        <v>75</v>
      </c>
      <c r="F25" s="6">
        <v>15.55</v>
      </c>
      <c r="G25" s="87">
        <v>202</v>
      </c>
      <c r="H25" s="87">
        <v>9.2200000000000006</v>
      </c>
      <c r="I25" s="87">
        <v>5.48</v>
      </c>
      <c r="J25" s="88">
        <v>29.18</v>
      </c>
      <c r="K25"/>
    </row>
    <row r="26" spans="1:11" s="49" customFormat="1" ht="15.75" thickBot="1" x14ac:dyDescent="0.3">
      <c r="A26" s="91"/>
      <c r="B26" s="10" t="s">
        <v>46</v>
      </c>
      <c r="C26" s="11" t="s">
        <v>47</v>
      </c>
      <c r="D26" s="11" t="s">
        <v>60</v>
      </c>
      <c r="E26" s="19">
        <v>190</v>
      </c>
      <c r="F26" s="20">
        <v>26.26</v>
      </c>
      <c r="G26" s="36">
        <f>38*1.9</f>
        <v>72.2</v>
      </c>
      <c r="H26" s="36">
        <f>0.8*1.9</f>
        <v>1.52</v>
      </c>
      <c r="I26" s="36">
        <f>0.2*1.9</f>
        <v>0.38</v>
      </c>
      <c r="J26" s="37">
        <f>7.5*1.9</f>
        <v>14.25</v>
      </c>
    </row>
    <row r="27" spans="1:11" ht="16.5" thickBot="1" x14ac:dyDescent="0.3">
      <c r="A27" s="56" t="s">
        <v>15</v>
      </c>
      <c r="B27" s="57"/>
      <c r="C27" s="57"/>
      <c r="D27" s="57"/>
      <c r="E27" s="58"/>
      <c r="F27" s="3">
        <f>SUM(F24:F26)</f>
        <v>44.53</v>
      </c>
      <c r="G27" s="3">
        <f t="shared" ref="G27:J27" si="2">SUM(G24:G26)</f>
        <v>334.2</v>
      </c>
      <c r="H27" s="3">
        <f t="shared" si="2"/>
        <v>10.81</v>
      </c>
      <c r="I27" s="3">
        <f t="shared" si="2"/>
        <v>5.88</v>
      </c>
      <c r="J27" s="3">
        <f t="shared" si="2"/>
        <v>58.43</v>
      </c>
      <c r="K27"/>
    </row>
    <row r="29" spans="1:11" ht="15.75" thickBot="1" x14ac:dyDescent="0.3">
      <c r="A29" s="66" t="s">
        <v>25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1" ht="15.75" x14ac:dyDescent="0.25">
      <c r="A30" s="40"/>
      <c r="B30" s="25"/>
      <c r="C30" s="65" t="s">
        <v>23</v>
      </c>
      <c r="D30" s="65"/>
      <c r="G30" s="67"/>
      <c r="H30" s="67"/>
      <c r="I30" s="67"/>
      <c r="J30" s="67"/>
    </row>
    <row r="31" spans="1:11" x14ac:dyDescent="0.25">
      <c r="A31" s="39"/>
      <c r="B31" s="1"/>
      <c r="C31" s="1"/>
      <c r="D31" s="1"/>
    </row>
    <row r="32" spans="1:11" x14ac:dyDescent="0.25">
      <c r="A32" s="51" t="s">
        <v>24</v>
      </c>
      <c r="B32" s="51"/>
    </row>
    <row r="33" spans="1:2" x14ac:dyDescent="0.25">
      <c r="A33" s="51" t="s">
        <v>26</v>
      </c>
      <c r="B33" s="51"/>
    </row>
    <row r="34" spans="1:2" x14ac:dyDescent="0.25">
      <c r="A34" s="41"/>
    </row>
  </sheetData>
  <mergeCells count="15">
    <mergeCell ref="B1:C1"/>
    <mergeCell ref="G1:J1"/>
    <mergeCell ref="C30:D30"/>
    <mergeCell ref="A29:J29"/>
    <mergeCell ref="G30:J30"/>
    <mergeCell ref="A9:E9"/>
    <mergeCell ref="A10:A14"/>
    <mergeCell ref="A15:E15"/>
    <mergeCell ref="A23:E23"/>
    <mergeCell ref="A24:A26"/>
    <mergeCell ref="A32:B32"/>
    <mergeCell ref="A33:B33"/>
    <mergeCell ref="A3:A8"/>
    <mergeCell ref="A27:E27"/>
    <mergeCell ref="A16:A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8" zoomScaleNormal="100" workbookViewId="0">
      <selection activeCell="K29" sqref="K29"/>
    </sheetView>
  </sheetViews>
  <sheetFormatPr defaultRowHeight="15" x14ac:dyDescent="0.25"/>
  <cols>
    <col min="1" max="1" width="25.85546875" style="2" customWidth="1"/>
    <col min="2" max="2" width="16.85546875" style="2" customWidth="1"/>
    <col min="3" max="3" width="12.28515625" style="2" customWidth="1"/>
    <col min="4" max="4" width="49" style="2" customWidth="1"/>
    <col min="5" max="5" width="9.85546875" style="2" customWidth="1"/>
    <col min="6" max="6" width="8.140625" style="2" customWidth="1"/>
    <col min="7" max="7" width="14.140625" style="2" customWidth="1"/>
    <col min="8" max="8" width="8.28515625" style="2" customWidth="1"/>
    <col min="9" max="9" width="8" style="2" customWidth="1"/>
    <col min="10" max="10" width="10" style="2" customWidth="1"/>
    <col min="11" max="16384" width="9.140625" style="2"/>
  </cols>
  <sheetData>
    <row r="1" spans="1:12" ht="15.75" thickBot="1" x14ac:dyDescent="0.3">
      <c r="A1" s="1" t="s">
        <v>0</v>
      </c>
      <c r="B1" s="60" t="s">
        <v>22</v>
      </c>
      <c r="C1" s="61"/>
      <c r="D1" s="1" t="s">
        <v>1</v>
      </c>
      <c r="E1" s="29"/>
      <c r="F1" s="1" t="s">
        <v>2</v>
      </c>
      <c r="G1" s="62">
        <v>44578</v>
      </c>
      <c r="H1" s="63"/>
      <c r="I1" s="63"/>
      <c r="J1" s="64"/>
      <c r="K1" s="1"/>
      <c r="L1" s="1"/>
    </row>
    <row r="2" spans="1:12" ht="15.75" thickBot="1" x14ac:dyDescent="0.3">
      <c r="A2" s="43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47" t="s">
        <v>12</v>
      </c>
    </row>
    <row r="3" spans="1:12" s="49" customFormat="1" x14ac:dyDescent="0.25">
      <c r="A3" s="59" t="s">
        <v>36</v>
      </c>
      <c r="B3" s="86" t="s">
        <v>31</v>
      </c>
      <c r="C3" s="14" t="s">
        <v>65</v>
      </c>
      <c r="D3" s="14" t="s">
        <v>66</v>
      </c>
      <c r="E3" s="15">
        <v>19</v>
      </c>
      <c r="F3" s="15">
        <v>16.72</v>
      </c>
      <c r="G3" s="16">
        <f>3.6*19</f>
        <v>68.400000000000006</v>
      </c>
      <c r="H3" s="16">
        <f>6.96/30*25</f>
        <v>5.8000000000000007</v>
      </c>
      <c r="I3" s="16">
        <f>8.85/30*25</f>
        <v>7.375</v>
      </c>
      <c r="J3" s="17">
        <f>0</f>
        <v>0</v>
      </c>
    </row>
    <row r="4" spans="1:12" x14ac:dyDescent="0.25">
      <c r="A4" s="52"/>
      <c r="B4" s="7" t="s">
        <v>13</v>
      </c>
      <c r="C4" s="4" t="s">
        <v>54</v>
      </c>
      <c r="D4" s="4" t="s">
        <v>55</v>
      </c>
      <c r="E4" s="18" t="s">
        <v>56</v>
      </c>
      <c r="F4" s="6">
        <v>19.899999999999999</v>
      </c>
      <c r="G4" s="6">
        <f>289</f>
        <v>289</v>
      </c>
      <c r="H4" s="6">
        <f>8.2</f>
        <v>8.1999999999999993</v>
      </c>
      <c r="I4" s="6">
        <f>10.6</f>
        <v>10.6</v>
      </c>
      <c r="J4" s="8">
        <f>40.1</f>
        <v>40.1</v>
      </c>
    </row>
    <row r="5" spans="1:12" s="26" customFormat="1" x14ac:dyDescent="0.25">
      <c r="A5" s="52"/>
      <c r="B5" s="7" t="s">
        <v>18</v>
      </c>
      <c r="C5" s="4" t="s">
        <v>52</v>
      </c>
      <c r="D5" s="4" t="s">
        <v>53</v>
      </c>
      <c r="E5" s="18">
        <v>200</v>
      </c>
      <c r="F5" s="6">
        <v>13.73</v>
      </c>
      <c r="G5" s="6">
        <v>136</v>
      </c>
      <c r="H5" s="27">
        <v>3.64</v>
      </c>
      <c r="I5" s="27">
        <v>3.35</v>
      </c>
      <c r="J5" s="28">
        <v>22.82</v>
      </c>
    </row>
    <row r="6" spans="1:12" s="26" customFormat="1" x14ac:dyDescent="0.25">
      <c r="A6" s="52"/>
      <c r="B6" s="7" t="s">
        <v>21</v>
      </c>
      <c r="C6" s="4" t="s">
        <v>63</v>
      </c>
      <c r="D6" s="4" t="s">
        <v>64</v>
      </c>
      <c r="E6" s="18">
        <v>50</v>
      </c>
      <c r="F6" s="6">
        <v>4.2</v>
      </c>
      <c r="G6" s="6">
        <v>159</v>
      </c>
      <c r="H6" s="5">
        <v>3.64</v>
      </c>
      <c r="I6" s="5">
        <v>6.26</v>
      </c>
      <c r="J6" s="9">
        <v>21.96</v>
      </c>
    </row>
    <row r="7" spans="1:12" s="49" customFormat="1" x14ac:dyDescent="0.25">
      <c r="A7" s="52"/>
      <c r="B7" s="7" t="s">
        <v>14</v>
      </c>
      <c r="C7" s="4" t="s">
        <v>32</v>
      </c>
      <c r="D7" s="4" t="s">
        <v>33</v>
      </c>
      <c r="E7" s="18">
        <v>23.5</v>
      </c>
      <c r="F7" s="6">
        <v>0.95</v>
      </c>
      <c r="G7" s="6">
        <f>229.7*0.235</f>
        <v>53.979499999999994</v>
      </c>
      <c r="H7" s="5">
        <f>6.7*0.235</f>
        <v>1.5745</v>
      </c>
      <c r="I7" s="5">
        <f>1.1*0.235</f>
        <v>0.25850000000000001</v>
      </c>
      <c r="J7" s="9">
        <f>48.3*0.235</f>
        <v>11.350499999999998</v>
      </c>
    </row>
    <row r="8" spans="1:12" ht="15.75" thickBot="1" x14ac:dyDescent="0.3">
      <c r="A8" s="53"/>
      <c r="B8" s="10" t="s">
        <v>46</v>
      </c>
      <c r="C8" s="11" t="s">
        <v>47</v>
      </c>
      <c r="D8" s="11" t="s">
        <v>60</v>
      </c>
      <c r="E8" s="19">
        <v>100</v>
      </c>
      <c r="F8" s="20">
        <v>14</v>
      </c>
      <c r="G8" s="36">
        <f>38*1</f>
        <v>38</v>
      </c>
      <c r="H8" s="36">
        <f>0.8*1</f>
        <v>0.8</v>
      </c>
      <c r="I8" s="36">
        <f>0.2*1</f>
        <v>0.2</v>
      </c>
      <c r="J8" s="37">
        <f>7.5*1</f>
        <v>7.5</v>
      </c>
    </row>
    <row r="9" spans="1:12" ht="16.5" thickBot="1" x14ac:dyDescent="0.3">
      <c r="A9" s="83" t="s">
        <v>15</v>
      </c>
      <c r="B9" s="71"/>
      <c r="C9" s="71"/>
      <c r="D9" s="71"/>
      <c r="E9" s="72"/>
      <c r="F9" s="21">
        <f>SUM(F3:F8)</f>
        <v>69.5</v>
      </c>
      <c r="G9" s="21">
        <f>SUM(G4:G8)</f>
        <v>675.97950000000003</v>
      </c>
      <c r="H9" s="21">
        <f>SUM(H4:H8)</f>
        <v>17.854500000000002</v>
      </c>
      <c r="I9" s="21">
        <f>SUM(I4:I8)</f>
        <v>20.668500000000002</v>
      </c>
      <c r="J9" s="21">
        <f>SUM(J4:J8)</f>
        <v>103.73049999999999</v>
      </c>
    </row>
    <row r="10" spans="1:12" s="44" customFormat="1" ht="16.5" customHeight="1" x14ac:dyDescent="0.25">
      <c r="A10" s="73" t="s">
        <v>37</v>
      </c>
      <c r="B10" s="22" t="s">
        <v>13</v>
      </c>
      <c r="C10" s="23" t="s">
        <v>54</v>
      </c>
      <c r="D10" s="23" t="s">
        <v>55</v>
      </c>
      <c r="E10" s="15" t="s">
        <v>56</v>
      </c>
      <c r="F10" s="16">
        <v>19.899999999999999</v>
      </c>
      <c r="G10" s="16">
        <f>289</f>
        <v>289</v>
      </c>
      <c r="H10" s="16">
        <f>8.2</f>
        <v>8.1999999999999993</v>
      </c>
      <c r="I10" s="16">
        <f>10.6</f>
        <v>10.6</v>
      </c>
      <c r="J10" s="17">
        <f>40.1</f>
        <v>40.1</v>
      </c>
    </row>
    <row r="11" spans="1:12" s="33" customFormat="1" x14ac:dyDescent="0.25">
      <c r="A11" s="74"/>
      <c r="B11" s="7" t="s">
        <v>18</v>
      </c>
      <c r="C11" s="4" t="s">
        <v>19</v>
      </c>
      <c r="D11" s="4" t="s">
        <v>20</v>
      </c>
      <c r="E11" s="18" t="s">
        <v>59</v>
      </c>
      <c r="F11" s="6">
        <v>2.72</v>
      </c>
      <c r="G11" s="6">
        <v>60</v>
      </c>
      <c r="H11" s="6">
        <v>7.0000000000000007E-2</v>
      </c>
      <c r="I11" s="6">
        <v>0.02</v>
      </c>
      <c r="J11" s="8">
        <v>15</v>
      </c>
    </row>
    <row r="12" spans="1:12" s="49" customFormat="1" x14ac:dyDescent="0.25">
      <c r="A12" s="74"/>
      <c r="B12" s="7" t="s">
        <v>21</v>
      </c>
      <c r="C12" s="4" t="s">
        <v>63</v>
      </c>
      <c r="D12" s="4" t="s">
        <v>64</v>
      </c>
      <c r="E12" s="18">
        <v>50</v>
      </c>
      <c r="F12" s="6">
        <v>4.2</v>
      </c>
      <c r="G12" s="6">
        <v>159</v>
      </c>
      <c r="H12" s="5">
        <v>3.64</v>
      </c>
      <c r="I12" s="5">
        <v>6.26</v>
      </c>
      <c r="J12" s="9">
        <v>21.96</v>
      </c>
    </row>
    <row r="13" spans="1:12" s="44" customFormat="1" ht="15.75" thickBot="1" x14ac:dyDescent="0.3">
      <c r="A13" s="75"/>
      <c r="B13" s="10" t="s">
        <v>14</v>
      </c>
      <c r="C13" s="11" t="s">
        <v>32</v>
      </c>
      <c r="D13" s="11" t="s">
        <v>33</v>
      </c>
      <c r="E13" s="19">
        <v>5</v>
      </c>
      <c r="F13" s="20">
        <v>0.18</v>
      </c>
      <c r="G13" s="20">
        <f>229.7*0.05</f>
        <v>11.484999999999999</v>
      </c>
      <c r="H13" s="12">
        <f>6.7*0.05</f>
        <v>0.33500000000000002</v>
      </c>
      <c r="I13" s="12">
        <f>1.1*0.05</f>
        <v>5.5000000000000007E-2</v>
      </c>
      <c r="J13" s="13">
        <f>48.3*0.05</f>
        <v>2.415</v>
      </c>
    </row>
    <row r="14" spans="1:12" ht="16.5" thickBot="1" x14ac:dyDescent="0.3">
      <c r="A14" s="76" t="s">
        <v>15</v>
      </c>
      <c r="B14" s="71"/>
      <c r="C14" s="71"/>
      <c r="D14" s="71"/>
      <c r="E14" s="72"/>
      <c r="F14" s="21">
        <f>SUM(F10:F13)</f>
        <v>26.999999999999996</v>
      </c>
      <c r="G14" s="21">
        <f>SUM(G10:G13)</f>
        <v>519.48500000000001</v>
      </c>
      <c r="H14" s="21">
        <f>SUM(H10:H13)</f>
        <v>12.245000000000001</v>
      </c>
      <c r="I14" s="21">
        <f>SUM(I10:I13)</f>
        <v>16.934999999999999</v>
      </c>
      <c r="J14" s="21">
        <f>SUM(J10:J13)</f>
        <v>79.475000000000009</v>
      </c>
    </row>
    <row r="15" spans="1:12" s="44" customFormat="1" x14ac:dyDescent="0.25">
      <c r="A15" s="77" t="s">
        <v>39</v>
      </c>
      <c r="B15" s="22" t="s">
        <v>18</v>
      </c>
      <c r="C15" s="23" t="s">
        <v>19</v>
      </c>
      <c r="D15" s="23" t="s">
        <v>20</v>
      </c>
      <c r="E15" s="50" t="s">
        <v>34</v>
      </c>
      <c r="F15" s="16">
        <v>2.72</v>
      </c>
      <c r="G15" s="16">
        <v>60</v>
      </c>
      <c r="H15" s="16">
        <v>7.0000000000000007E-2</v>
      </c>
      <c r="I15" s="16">
        <v>0.02</v>
      </c>
      <c r="J15" s="17">
        <v>15</v>
      </c>
    </row>
    <row r="16" spans="1:12" s="44" customFormat="1" ht="15.75" thickBot="1" x14ac:dyDescent="0.3">
      <c r="A16" s="78"/>
      <c r="B16" s="10" t="s">
        <v>70</v>
      </c>
      <c r="C16" s="11" t="s">
        <v>41</v>
      </c>
      <c r="D16" s="11" t="s">
        <v>71</v>
      </c>
      <c r="E16" s="19">
        <v>25</v>
      </c>
      <c r="F16" s="20">
        <v>4.28</v>
      </c>
      <c r="G16" s="20">
        <v>120</v>
      </c>
      <c r="H16" s="20">
        <v>2.13</v>
      </c>
      <c r="I16" s="20">
        <v>4.5</v>
      </c>
      <c r="J16" s="48">
        <v>17.5</v>
      </c>
      <c r="K16"/>
    </row>
    <row r="17" spans="1:10" ht="16.5" thickBot="1" x14ac:dyDescent="0.3">
      <c r="A17" s="79" t="s">
        <v>15</v>
      </c>
      <c r="B17" s="71"/>
      <c r="C17" s="71"/>
      <c r="D17" s="71"/>
      <c r="E17" s="72"/>
      <c r="F17" s="21">
        <f>SUM(F15:F16)</f>
        <v>7</v>
      </c>
      <c r="G17" s="21">
        <f t="shared" ref="G17:J17" si="0">SUM(G15:G16)</f>
        <v>180</v>
      </c>
      <c r="H17" s="21">
        <f t="shared" si="0"/>
        <v>2.1999999999999997</v>
      </c>
      <c r="I17" s="21">
        <f t="shared" si="0"/>
        <v>4.5199999999999996</v>
      </c>
      <c r="J17" s="21">
        <f t="shared" si="0"/>
        <v>32.5</v>
      </c>
    </row>
    <row r="18" spans="1:10" ht="30" x14ac:dyDescent="0.25">
      <c r="A18" s="84" t="s">
        <v>38</v>
      </c>
      <c r="B18" s="22" t="s">
        <v>16</v>
      </c>
      <c r="C18" s="23" t="s">
        <v>48</v>
      </c>
      <c r="D18" s="23" t="s">
        <v>67</v>
      </c>
      <c r="E18" s="15" t="s">
        <v>35</v>
      </c>
      <c r="F18" s="16">
        <v>13.95</v>
      </c>
      <c r="G18" s="16">
        <f>359*0.25+162*0.1</f>
        <v>105.95</v>
      </c>
      <c r="H18" s="16">
        <f>7.06*0.25+2.6*0.1</f>
        <v>2.0249999999999999</v>
      </c>
      <c r="I18" s="16">
        <f>19.8*0.25+15*0.1</f>
        <v>6.45</v>
      </c>
      <c r="J18" s="17">
        <f>31.61*0.25+3.6*0.1</f>
        <v>8.2624999999999993</v>
      </c>
    </row>
    <row r="19" spans="1:10" x14ac:dyDescent="0.25">
      <c r="A19" s="85"/>
      <c r="B19" s="7" t="s">
        <v>13</v>
      </c>
      <c r="C19" s="4" t="s">
        <v>42</v>
      </c>
      <c r="D19" s="4" t="s">
        <v>43</v>
      </c>
      <c r="E19" s="18">
        <v>40</v>
      </c>
      <c r="F19" s="6">
        <v>17.88</v>
      </c>
      <c r="G19" s="6">
        <f>161*0.8</f>
        <v>128.80000000000001</v>
      </c>
      <c r="H19" s="6">
        <f>7.61*0.8</f>
        <v>6.088000000000001</v>
      </c>
      <c r="I19" s="6">
        <f>11.07*0.8</f>
        <v>8.8559999999999999</v>
      </c>
      <c r="J19" s="8">
        <f>7.66*0.8</f>
        <v>6.1280000000000001</v>
      </c>
    </row>
    <row r="20" spans="1:10" x14ac:dyDescent="0.25">
      <c r="A20" s="85"/>
      <c r="B20" s="7" t="s">
        <v>17</v>
      </c>
      <c r="C20" s="4" t="s">
        <v>44</v>
      </c>
      <c r="D20" s="4" t="s">
        <v>45</v>
      </c>
      <c r="E20" s="18">
        <v>110</v>
      </c>
      <c r="F20" s="6">
        <v>8.66</v>
      </c>
      <c r="G20" s="6">
        <f>1123*0.11</f>
        <v>123.53</v>
      </c>
      <c r="H20" s="6">
        <f>36.78*0.11</f>
        <v>4.0457999999999998</v>
      </c>
      <c r="I20" s="6">
        <f>30.1*0.11</f>
        <v>3.3110000000000004</v>
      </c>
      <c r="J20" s="8">
        <f>176.3*0.11</f>
        <v>19.393000000000001</v>
      </c>
    </row>
    <row r="21" spans="1:10" x14ac:dyDescent="0.25">
      <c r="A21" s="85"/>
      <c r="B21" s="7" t="s">
        <v>18</v>
      </c>
      <c r="C21" s="4" t="s">
        <v>19</v>
      </c>
      <c r="D21" s="4" t="s">
        <v>20</v>
      </c>
      <c r="E21" s="18" t="s">
        <v>34</v>
      </c>
      <c r="F21" s="6">
        <v>2.72</v>
      </c>
      <c r="G21" s="6">
        <v>60</v>
      </c>
      <c r="H21" s="6">
        <v>7.0000000000000007E-2</v>
      </c>
      <c r="I21" s="6">
        <v>0.02</v>
      </c>
      <c r="J21" s="8">
        <v>15</v>
      </c>
    </row>
    <row r="22" spans="1:10" ht="15.75" thickBot="1" x14ac:dyDescent="0.3">
      <c r="A22" s="85"/>
      <c r="B22" s="10" t="s">
        <v>14</v>
      </c>
      <c r="C22" s="11" t="s">
        <v>32</v>
      </c>
      <c r="D22" s="11" t="s">
        <v>33</v>
      </c>
      <c r="E22" s="19">
        <v>44</v>
      </c>
      <c r="F22" s="20">
        <v>1.79</v>
      </c>
      <c r="G22" s="20">
        <f>229.7*0.44</f>
        <v>101.068</v>
      </c>
      <c r="H22" s="12">
        <f>6.7*0.44</f>
        <v>2.948</v>
      </c>
      <c r="I22" s="12">
        <f>1.1*0.44</f>
        <v>0.48400000000000004</v>
      </c>
      <c r="J22" s="13">
        <f>48.3*0.44</f>
        <v>21.251999999999999</v>
      </c>
    </row>
    <row r="23" spans="1:10" ht="16.5" thickBot="1" x14ac:dyDescent="0.3">
      <c r="A23" s="68" t="s">
        <v>15</v>
      </c>
      <c r="B23" s="81"/>
      <c r="C23" s="81"/>
      <c r="D23" s="81"/>
      <c r="E23" s="82"/>
      <c r="F23" s="24">
        <f>SUM(F18:F22)</f>
        <v>44.999999999999993</v>
      </c>
      <c r="G23" s="24">
        <f t="shared" ref="G23:J23" si="1">SUM(G18:G22)</f>
        <v>519.34799999999996</v>
      </c>
      <c r="H23" s="24">
        <f t="shared" si="1"/>
        <v>15.176800000000002</v>
      </c>
      <c r="I23" s="24">
        <f t="shared" si="1"/>
        <v>19.121000000000002</v>
      </c>
      <c r="J23" s="24">
        <f t="shared" si="1"/>
        <v>70.035499999999999</v>
      </c>
    </row>
    <row r="24" spans="1:10" s="49" customFormat="1" ht="30" x14ac:dyDescent="0.25">
      <c r="A24" s="80" t="s">
        <v>40</v>
      </c>
      <c r="B24" s="7" t="s">
        <v>16</v>
      </c>
      <c r="C24" s="4" t="s">
        <v>48</v>
      </c>
      <c r="D24" s="4" t="s">
        <v>67</v>
      </c>
      <c r="E24" s="18" t="s">
        <v>35</v>
      </c>
      <c r="F24" s="6">
        <v>13.95</v>
      </c>
      <c r="G24" s="6">
        <f>359*0.25+162*0.1</f>
        <v>105.95</v>
      </c>
      <c r="H24" s="6">
        <f>7.06*0.25+2.6*0.1</f>
        <v>2.0249999999999999</v>
      </c>
      <c r="I24" s="6">
        <f>19.8*0.25+15*0.1</f>
        <v>6.45</v>
      </c>
      <c r="J24" s="8">
        <f>31.61*0.25+3.6*0.1</f>
        <v>8.2624999999999993</v>
      </c>
    </row>
    <row r="25" spans="1:10" x14ac:dyDescent="0.25">
      <c r="A25" s="80"/>
      <c r="B25" s="7" t="s">
        <v>13</v>
      </c>
      <c r="C25" s="4" t="s">
        <v>42</v>
      </c>
      <c r="D25" s="4" t="s">
        <v>43</v>
      </c>
      <c r="E25" s="18">
        <v>60</v>
      </c>
      <c r="F25" s="6">
        <v>26.82</v>
      </c>
      <c r="G25" s="6">
        <f>161*1.2</f>
        <v>193.2</v>
      </c>
      <c r="H25" s="6">
        <f>7.61*1.2</f>
        <v>9.1319999999999997</v>
      </c>
      <c r="I25" s="6">
        <f>11.07*1.2</f>
        <v>13.284000000000001</v>
      </c>
      <c r="J25" s="8">
        <f>7.66*1.2</f>
        <v>9.1920000000000002</v>
      </c>
    </row>
    <row r="26" spans="1:10" x14ac:dyDescent="0.25">
      <c r="A26" s="80"/>
      <c r="B26" s="7" t="s">
        <v>17</v>
      </c>
      <c r="C26" s="4" t="s">
        <v>44</v>
      </c>
      <c r="D26" s="4" t="s">
        <v>45</v>
      </c>
      <c r="E26" s="18">
        <v>120</v>
      </c>
      <c r="F26" s="6">
        <v>9.44</v>
      </c>
      <c r="G26" s="6">
        <f>1123*0.12</f>
        <v>134.76</v>
      </c>
      <c r="H26" s="6">
        <f>36.78*0.12</f>
        <v>4.4135999999999997</v>
      </c>
      <c r="I26" s="6">
        <f>30.1*0.12</f>
        <v>3.6120000000000001</v>
      </c>
      <c r="J26" s="8">
        <f>176.3*0.12</f>
        <v>21.155999999999999</v>
      </c>
    </row>
    <row r="27" spans="1:10" ht="17.25" customHeight="1" x14ac:dyDescent="0.25">
      <c r="A27" s="80"/>
      <c r="B27" s="7" t="s">
        <v>49</v>
      </c>
      <c r="C27" s="34" t="s">
        <v>50</v>
      </c>
      <c r="D27" s="35" t="s">
        <v>51</v>
      </c>
      <c r="E27" s="18">
        <v>200</v>
      </c>
      <c r="F27" s="6">
        <v>14.44</v>
      </c>
      <c r="G27" s="6">
        <f>574*0.2</f>
        <v>114.80000000000001</v>
      </c>
      <c r="H27" s="27">
        <f>3.9*0.2</f>
        <v>0.78</v>
      </c>
      <c r="I27" s="27">
        <f>0.23*0.2</f>
        <v>4.6000000000000006E-2</v>
      </c>
      <c r="J27" s="28">
        <f>138.15*0.2</f>
        <v>27.630000000000003</v>
      </c>
    </row>
    <row r="28" spans="1:10" x14ac:dyDescent="0.25">
      <c r="A28" s="80"/>
      <c r="B28" s="7" t="s">
        <v>21</v>
      </c>
      <c r="C28" s="4" t="s">
        <v>57</v>
      </c>
      <c r="D28" s="4" t="s">
        <v>58</v>
      </c>
      <c r="E28" s="18">
        <v>50</v>
      </c>
      <c r="F28" s="6">
        <v>3.86</v>
      </c>
      <c r="G28" s="6">
        <f>283*0.5</f>
        <v>141.5</v>
      </c>
      <c r="H28" s="5">
        <f>7.9*0.5</f>
        <v>3.95</v>
      </c>
      <c r="I28" s="5">
        <f>8.12*0.5</f>
        <v>4.0599999999999996</v>
      </c>
      <c r="J28" s="9">
        <f>44.48*0.5</f>
        <v>22.24</v>
      </c>
    </row>
    <row r="29" spans="1:10" ht="15.75" thickBot="1" x14ac:dyDescent="0.3">
      <c r="A29" s="80"/>
      <c r="B29" s="10" t="s">
        <v>14</v>
      </c>
      <c r="C29" s="11" t="s">
        <v>32</v>
      </c>
      <c r="D29" s="11" t="s">
        <v>33</v>
      </c>
      <c r="E29" s="19">
        <v>24.5</v>
      </c>
      <c r="F29" s="20">
        <v>0.99</v>
      </c>
      <c r="G29" s="20">
        <f>229.7*0.245</f>
        <v>56.276499999999999</v>
      </c>
      <c r="H29" s="12">
        <f>6.7*0.245</f>
        <v>1.6415</v>
      </c>
      <c r="I29" s="12">
        <f>1.1*0.245</f>
        <v>0.26950000000000002</v>
      </c>
      <c r="J29" s="13">
        <f>48.3*0.245</f>
        <v>11.833499999999999</v>
      </c>
    </row>
    <row r="30" spans="1:10" ht="16.5" thickBot="1" x14ac:dyDescent="0.3">
      <c r="A30" s="68" t="s">
        <v>15</v>
      </c>
      <c r="B30" s="81"/>
      <c r="C30" s="81"/>
      <c r="D30" s="81"/>
      <c r="E30" s="82"/>
      <c r="F30" s="24">
        <f>SUM(F24:F29)</f>
        <v>69.499999999999986</v>
      </c>
      <c r="G30" s="24">
        <f t="shared" ref="G30:J30" si="2">SUM(G24:G29)</f>
        <v>746.48649999999998</v>
      </c>
      <c r="H30" s="24">
        <f t="shared" si="2"/>
        <v>21.9421</v>
      </c>
      <c r="I30" s="24">
        <f t="shared" si="2"/>
        <v>27.721500000000002</v>
      </c>
      <c r="J30" s="24">
        <f t="shared" si="2"/>
        <v>100.31399999999999</v>
      </c>
    </row>
    <row r="32" spans="1:10" ht="15.75" thickBot="1" x14ac:dyDescent="0.3">
      <c r="A32" s="66" t="s">
        <v>25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.75" x14ac:dyDescent="0.25">
      <c r="A33" s="25"/>
      <c r="B33" s="25"/>
      <c r="C33" s="65" t="s">
        <v>23</v>
      </c>
      <c r="D33" s="65"/>
      <c r="G33" s="67"/>
      <c r="H33" s="67"/>
      <c r="I33" s="67"/>
      <c r="J33" s="67"/>
    </row>
    <row r="34" spans="1:10" x14ac:dyDescent="0.25">
      <c r="A34" s="1"/>
      <c r="B34" s="1"/>
      <c r="C34" s="1"/>
      <c r="D34" s="1"/>
    </row>
    <row r="35" spans="1:10" x14ac:dyDescent="0.25">
      <c r="A35" s="51" t="s">
        <v>24</v>
      </c>
      <c r="B35" s="51"/>
    </row>
    <row r="36" spans="1:10" x14ac:dyDescent="0.25">
      <c r="A36" s="51" t="s">
        <v>26</v>
      </c>
      <c r="B36" s="51"/>
    </row>
  </sheetData>
  <mergeCells count="17">
    <mergeCell ref="B1:C1"/>
    <mergeCell ref="G1:J1"/>
    <mergeCell ref="A9:E9"/>
    <mergeCell ref="A18:A22"/>
    <mergeCell ref="A3:A8"/>
    <mergeCell ref="A35:B35"/>
    <mergeCell ref="A36:B36"/>
    <mergeCell ref="A10:A13"/>
    <mergeCell ref="A14:E14"/>
    <mergeCell ref="A15:A16"/>
    <mergeCell ref="A17:E17"/>
    <mergeCell ref="A24:A29"/>
    <mergeCell ref="A30:E30"/>
    <mergeCell ref="A32:J32"/>
    <mergeCell ref="C33:D33"/>
    <mergeCell ref="G33:J33"/>
    <mergeCell ref="A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17.01 1-4 кл</vt:lpstr>
      <vt:lpstr>17.01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2022-01-14T12:51:05Z</dcterms:modified>
</cp:coreProperties>
</file>