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8.01 1-4 кл" sheetId="1" r:id="rId1"/>
    <sheet name="18.0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G21" i="2"/>
  <c r="H21" i="2"/>
  <c r="I21" i="2"/>
  <c r="J21" i="2"/>
  <c r="J23" i="2"/>
  <c r="I23" i="2"/>
  <c r="H23" i="2"/>
  <c r="G23" i="2"/>
  <c r="J22" i="2"/>
  <c r="I22" i="2"/>
  <c r="H22" i="2"/>
  <c r="G22" i="2"/>
  <c r="J19" i="2"/>
  <c r="I19" i="2"/>
  <c r="H19" i="2"/>
  <c r="G19" i="2"/>
  <c r="J17" i="2"/>
  <c r="I17" i="2"/>
  <c r="H17" i="2"/>
  <c r="G17" i="2"/>
  <c r="J16" i="2"/>
  <c r="I16" i="2"/>
  <c r="H16" i="2"/>
  <c r="G16" i="2"/>
  <c r="J13" i="2"/>
  <c r="I13" i="2"/>
  <c r="H13" i="2"/>
  <c r="G13" i="2"/>
  <c r="J9" i="2" l="1"/>
  <c r="G9" i="2"/>
  <c r="J11" i="2"/>
  <c r="I11" i="2"/>
  <c r="H11" i="2"/>
  <c r="G11" i="2"/>
  <c r="I9" i="2"/>
  <c r="H9" i="2"/>
  <c r="J22" i="1" l="1"/>
  <c r="I22" i="1"/>
  <c r="H22" i="1"/>
  <c r="G22" i="1"/>
  <c r="J19" i="1"/>
  <c r="I19" i="1"/>
  <c r="H19" i="1"/>
  <c r="G19" i="1"/>
  <c r="J14" i="1" l="1"/>
  <c r="I14" i="1"/>
  <c r="H14" i="1"/>
  <c r="G14" i="1"/>
  <c r="J15" i="1" l="1"/>
  <c r="I15" i="1"/>
  <c r="H15" i="1"/>
  <c r="G15" i="1"/>
  <c r="J12" i="1"/>
  <c r="I12" i="1"/>
  <c r="H12" i="1"/>
  <c r="G12" i="1"/>
  <c r="J10" i="1"/>
  <c r="I10" i="1"/>
  <c r="H10" i="1"/>
  <c r="G10" i="1"/>
  <c r="J9" i="1"/>
  <c r="I9" i="1"/>
  <c r="H9" i="1"/>
  <c r="G9" i="1"/>
  <c r="J7" i="1" l="1"/>
  <c r="I7" i="1"/>
  <c r="H7" i="1"/>
  <c r="G7" i="1"/>
  <c r="J7" i="2"/>
  <c r="I7" i="2"/>
  <c r="H7" i="2"/>
  <c r="G7" i="2"/>
  <c r="J6" i="2"/>
  <c r="I6" i="2"/>
  <c r="H6" i="2"/>
  <c r="G6" i="2"/>
  <c r="J4" i="2"/>
  <c r="I4" i="2"/>
  <c r="H4" i="2"/>
  <c r="G4" i="2"/>
  <c r="J3" i="2"/>
  <c r="I3" i="2"/>
  <c r="H3" i="2"/>
  <c r="G3" i="2"/>
  <c r="J4" i="1" l="1"/>
  <c r="I4" i="1"/>
  <c r="H4" i="1"/>
  <c r="G4" i="1"/>
  <c r="J3" i="1" l="1"/>
  <c r="I3" i="1"/>
  <c r="H3" i="1"/>
  <c r="G3" i="1"/>
  <c r="F27" i="2" l="1"/>
  <c r="J27" i="2"/>
  <c r="I27" i="2"/>
  <c r="H27" i="2"/>
  <c r="G27" i="2"/>
  <c r="J8" i="2"/>
  <c r="F8" i="2"/>
  <c r="I8" i="2"/>
  <c r="H8" i="2"/>
  <c r="G8" i="2"/>
  <c r="G23" i="1"/>
  <c r="H23" i="1"/>
  <c r="I23" i="1"/>
  <c r="J23" i="1"/>
  <c r="F23" i="1"/>
  <c r="F8" i="1"/>
  <c r="J8" i="1"/>
  <c r="I8" i="1"/>
  <c r="H8" i="1"/>
  <c r="G8" i="1"/>
  <c r="G15" i="2" l="1"/>
  <c r="F15" i="2"/>
  <c r="J15" i="2"/>
  <c r="I15" i="2"/>
  <c r="H15" i="2"/>
  <c r="F20" i="1" l="1"/>
  <c r="G13" i="1"/>
  <c r="H13" i="1"/>
  <c r="I13" i="1"/>
  <c r="J13" i="1"/>
  <c r="F13" i="1"/>
  <c r="J16" i="1"/>
  <c r="I16" i="1"/>
  <c r="H16" i="1"/>
  <c r="G16" i="1"/>
  <c r="J20" i="1" l="1"/>
  <c r="I20" i="1"/>
  <c r="H20" i="1"/>
  <c r="G20" i="1"/>
  <c r="G12" i="2" l="1"/>
  <c r="H12" i="2"/>
  <c r="I12" i="2"/>
  <c r="J12" i="2"/>
  <c r="F12" i="2"/>
  <c r="F20" i="2"/>
  <c r="I20" i="2" l="1"/>
  <c r="H20" i="2"/>
  <c r="G20" i="2"/>
  <c r="J20" i="2" l="1"/>
</calcChain>
</file>

<file path=xl/sharedStrings.xml><?xml version="1.0" encoding="utf-8"?>
<sst xmlns="http://schemas.openxmlformats.org/spreadsheetml/2006/main" count="180" uniqueCount="76">
  <si>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</si>
  <si>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</si>
  <si>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</si>
  <si>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</si>
  <si>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</si>
  <si>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</si>
  <si>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</si>
  <si>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</si>
  <si>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</si>
  <si>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</si>
  <si>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</si>
  <si>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</si>
  <si>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</si>
  <si>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</si>
  <si>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</si>
  <si>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</si>
  <si>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</si>
  <si>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</si>
  <si>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</si>
  <si>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</si>
  <si>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</si>
  <si>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</si>
  <si>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</si>
  <si>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</si>
  <si>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</si>
  <si>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</si>
  <si>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</si>
  <si>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</si>
  <si>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</si>
  <si>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</si>
  <si>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</si>
  <si>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</si>
  <si>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</si>
  <si>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</si>
  <si>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</si>
  <si>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</si>
  <si>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</si>
  <si>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</si>
  <si>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</si>
  <si>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</si>
  <si>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№268-2015г.</t>
  </si>
  <si>
    <t>Котлета из свинины</t>
  </si>
  <si>
    <t>Напиток</t>
  </si>
  <si>
    <t>Молочный коктейль "Авишка" 2,5 %</t>
  </si>
  <si>
    <t>250/10/2</t>
  </si>
  <si>
    <t>№259-2015г.</t>
  </si>
  <si>
    <t>Жаркое по-домашнему (свинина)</t>
  </si>
  <si>
    <t>40/100</t>
  </si>
  <si>
    <t>50</t>
  </si>
  <si>
    <t>№71-2015г.</t>
  </si>
  <si>
    <t>Овощи натуральные свежие (огурцы)</t>
  </si>
  <si>
    <t>№2-2015г.</t>
  </si>
  <si>
    <t>№302-2015г.</t>
  </si>
  <si>
    <t>Каша рассыпчатая гречневая</t>
  </si>
  <si>
    <t>Кондитерское изделие</t>
  </si>
  <si>
    <t>Печенье "Курабье"</t>
  </si>
  <si>
    <t>ТТК №6</t>
  </si>
  <si>
    <t>Булочка "Рулетик с маком"</t>
  </si>
  <si>
    <t>Суп с крупой рисовой с цыплёнком и зеленью</t>
  </si>
  <si>
    <t>№115-2015г.</t>
  </si>
  <si>
    <t>29/72,5</t>
  </si>
  <si>
    <t>№306-2015г.</t>
  </si>
  <si>
    <t>Бобовые отварные (горошек зелёный консервированный)</t>
  </si>
  <si>
    <t>ТТК №89</t>
  </si>
  <si>
    <t>Напиток ягодный (из компотной смеси)</t>
  </si>
  <si>
    <t>№424-2015г.</t>
  </si>
  <si>
    <t>Булочка "Завитушка сахарная"</t>
  </si>
  <si>
    <t>№456-2015г.</t>
  </si>
  <si>
    <t>Коржик молочный</t>
  </si>
  <si>
    <t>№171-2015г.</t>
  </si>
  <si>
    <t>Каша рассыпчатая гречневая с маслом и сахаром</t>
  </si>
  <si>
    <t>150/10/5</t>
  </si>
  <si>
    <t>Батон пшеничный</t>
  </si>
  <si>
    <t>Бутерброд с повидлом</t>
  </si>
  <si>
    <t>20/31</t>
  </si>
  <si>
    <t>Завтрак 5-11 кл с род.доплатой 62,50 руб. и льготники с доплатой 42,50 руб.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</si>
</sst>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/>
    <xf numFmtId="4" fontId="5" fillId="0" borderId="5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49" fontId="1" fillId="0" borderId="29" xfId="0" applyNumberFormat="1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4" fontId="1" fillId="0" borderId="15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29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7" workbookViewId="0">
      <selection activeCell="B15" sqref="B15:J19"/>
    </sheetView>
  </sheetViews>
  <sheetFormatPr defaultRowHeight="15" x14ac:dyDescent="0.25"/>
  <cols>
    <col min="1" max="1" width="26.28515625" style="2" customWidth="1"/>
    <col min="2" max="2" width="16.855468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4" t="s">
        <v>22</v>
      </c>
      <c r="C1" s="65"/>
      <c r="D1" s="1" t="s">
        <v>1</v>
      </c>
      <c r="E1" s="30"/>
      <c r="F1" s="1" t="s">
        <v>2</v>
      </c>
      <c r="G1" s="66">
        <v>44579</v>
      </c>
      <c r="H1" s="67"/>
      <c r="I1" s="67"/>
      <c r="J1" s="68"/>
      <c r="K1" s="1"/>
      <c r="L1" s="1"/>
    </row>
    <row r="2" spans="1:12" ht="15.75" thickBot="1" x14ac:dyDescent="0.3">
      <c r="A2" s="49" t="s">
        <v>3</v>
      </c>
      <c r="B2" s="49" t="s">
        <v>4</v>
      </c>
      <c r="C2" s="51" t="s">
        <v>5</v>
      </c>
      <c r="D2" s="49" t="s">
        <v>6</v>
      </c>
      <c r="E2" s="49" t="s">
        <v>7</v>
      </c>
      <c r="F2" s="49" t="s">
        <v>8</v>
      </c>
      <c r="G2" s="5" t="s">
        <v>9</v>
      </c>
      <c r="H2" s="5" t="s">
        <v>10</v>
      </c>
      <c r="I2" s="5" t="s">
        <v>11</v>
      </c>
      <c r="J2" s="50" t="s">
        <v>12</v>
      </c>
    </row>
    <row r="3" spans="1:12" x14ac:dyDescent="0.25">
      <c r="A3" s="56" t="s">
        <v>27</v>
      </c>
      <c r="B3" s="22" t="s">
        <v>13</v>
      </c>
      <c r="C3" s="14" t="s">
        <v>40</v>
      </c>
      <c r="D3" s="14" t="s">
        <v>41</v>
      </c>
      <c r="E3" s="15">
        <v>50</v>
      </c>
      <c r="F3" s="16">
        <v>21</v>
      </c>
      <c r="G3" s="16">
        <f>182*1</f>
        <v>182</v>
      </c>
      <c r="H3" s="16">
        <f>6.74*1</f>
        <v>6.74</v>
      </c>
      <c r="I3" s="16">
        <f>13.91*1</f>
        <v>13.91</v>
      </c>
      <c r="J3" s="17">
        <f>7.09*1</f>
        <v>7.09</v>
      </c>
    </row>
    <row r="4" spans="1:12" x14ac:dyDescent="0.25">
      <c r="A4" s="56"/>
      <c r="B4" s="8" t="s">
        <v>17</v>
      </c>
      <c r="C4" s="6" t="s">
        <v>52</v>
      </c>
      <c r="D4" s="6" t="s">
        <v>53</v>
      </c>
      <c r="E4" s="18">
        <v>100</v>
      </c>
      <c r="F4" s="7">
        <v>11.33</v>
      </c>
      <c r="G4" s="7">
        <f>1625*0.1</f>
        <v>162.5</v>
      </c>
      <c r="H4" s="7">
        <f>57.32*0.1</f>
        <v>5.7320000000000002</v>
      </c>
      <c r="I4" s="7">
        <f>40.62*0.1</f>
        <v>4.0620000000000003</v>
      </c>
      <c r="J4" s="9">
        <f>257.61*0.1</f>
        <v>25.761000000000003</v>
      </c>
      <c r="K4"/>
    </row>
    <row r="5" spans="1:12" x14ac:dyDescent="0.25">
      <c r="A5" s="56"/>
      <c r="B5" s="8" t="s">
        <v>42</v>
      </c>
      <c r="C5" s="6" t="s">
        <v>39</v>
      </c>
      <c r="D5" s="6" t="s">
        <v>43</v>
      </c>
      <c r="E5" s="18">
        <v>200</v>
      </c>
      <c r="F5" s="7">
        <v>34.299999999999997</v>
      </c>
      <c r="G5" s="7">
        <v>160</v>
      </c>
      <c r="H5" s="7">
        <v>6.2</v>
      </c>
      <c r="I5" s="7">
        <v>5</v>
      </c>
      <c r="J5" s="9">
        <v>22</v>
      </c>
      <c r="K5"/>
    </row>
    <row r="6" spans="1:12" x14ac:dyDescent="0.25">
      <c r="A6" s="56"/>
      <c r="B6" s="8" t="s">
        <v>21</v>
      </c>
      <c r="C6" s="34" t="s">
        <v>56</v>
      </c>
      <c r="D6" s="34" t="s">
        <v>57</v>
      </c>
      <c r="E6" s="35" t="s">
        <v>48</v>
      </c>
      <c r="F6" s="36">
        <v>6.85</v>
      </c>
      <c r="G6" s="37">
        <v>198.6</v>
      </c>
      <c r="H6" s="37">
        <v>4.0999999999999996</v>
      </c>
      <c r="I6" s="37">
        <v>7.7</v>
      </c>
      <c r="J6" s="38">
        <v>28.2</v>
      </c>
      <c r="K6"/>
    </row>
    <row r="7" spans="1:12" ht="15.75" thickBot="1" x14ac:dyDescent="0.3">
      <c r="A7" s="57"/>
      <c r="B7" s="10" t="s">
        <v>14</v>
      </c>
      <c r="C7" s="11" t="s">
        <v>32</v>
      </c>
      <c r="D7" s="11" t="s">
        <v>33</v>
      </c>
      <c r="E7" s="19">
        <v>30.5</v>
      </c>
      <c r="F7" s="20">
        <v>1.25</v>
      </c>
      <c r="G7" s="20">
        <f>229.7*0.305</f>
        <v>70.058499999999995</v>
      </c>
      <c r="H7" s="12">
        <f>6.7*0.305</f>
        <v>2.0434999999999999</v>
      </c>
      <c r="I7" s="12">
        <f>1.1*0.305</f>
        <v>0.33550000000000002</v>
      </c>
      <c r="J7" s="13">
        <f>48.3*0.305</f>
        <v>14.731499999999999</v>
      </c>
      <c r="K7"/>
    </row>
    <row r="8" spans="1:12" ht="16.5" thickBot="1" x14ac:dyDescent="0.3">
      <c r="A8" s="60" t="s">
        <v>15</v>
      </c>
      <c r="B8" s="72"/>
      <c r="C8" s="72"/>
      <c r="D8" s="72"/>
      <c r="E8" s="73"/>
      <c r="F8" s="21">
        <f>SUM(F3:F7)</f>
        <v>74.72999999999999</v>
      </c>
      <c r="G8" s="21">
        <f t="shared" ref="G8:J8" si="0">SUM(G3:G7)</f>
        <v>773.1585</v>
      </c>
      <c r="H8" s="21">
        <f t="shared" si="0"/>
        <v>24.8155</v>
      </c>
      <c r="I8" s="21">
        <f t="shared" si="0"/>
        <v>31.0075</v>
      </c>
      <c r="J8" s="21">
        <f t="shared" si="0"/>
        <v>97.782499999999999</v>
      </c>
    </row>
    <row r="9" spans="1:12" s="48" customFormat="1" x14ac:dyDescent="0.25">
      <c r="A9" s="58" t="s">
        <v>28</v>
      </c>
      <c r="B9" s="22" t="s">
        <v>16</v>
      </c>
      <c r="C9" s="23" t="s">
        <v>59</v>
      </c>
      <c r="D9" s="23" t="s">
        <v>58</v>
      </c>
      <c r="E9" s="15" t="s">
        <v>44</v>
      </c>
      <c r="F9" s="16">
        <v>12.63</v>
      </c>
      <c r="G9" s="16">
        <f>205*0.25+211*0.1</f>
        <v>72.349999999999994</v>
      </c>
      <c r="H9" s="16">
        <f>2.31*0.25+21.1*0.1</f>
        <v>2.6875000000000004</v>
      </c>
      <c r="I9" s="16">
        <f>19.2*0.25+13.6*0.1</f>
        <v>6.16</v>
      </c>
      <c r="J9" s="17">
        <f>6.89*0.25+0</f>
        <v>1.7224999999999999</v>
      </c>
    </row>
    <row r="10" spans="1:12" s="42" customFormat="1" x14ac:dyDescent="0.25">
      <c r="A10" s="59"/>
      <c r="B10" s="8" t="s">
        <v>13</v>
      </c>
      <c r="C10" s="40" t="s">
        <v>45</v>
      </c>
      <c r="D10" s="39" t="s">
        <v>46</v>
      </c>
      <c r="E10" s="18" t="s">
        <v>60</v>
      </c>
      <c r="F10" s="7">
        <v>28.06</v>
      </c>
      <c r="G10" s="29">
        <f>383/140*101.5</f>
        <v>277.67500000000001</v>
      </c>
      <c r="H10" s="29">
        <f>12.3/140*101.5</f>
        <v>8.9175000000000004</v>
      </c>
      <c r="I10" s="29">
        <f>29.5/140*101.5</f>
        <v>21.387499999999999</v>
      </c>
      <c r="J10" s="46">
        <f>16.58/140*101.5</f>
        <v>12.020499999999998</v>
      </c>
      <c r="K10"/>
    </row>
    <row r="11" spans="1:12" x14ac:dyDescent="0.25">
      <c r="A11" s="59"/>
      <c r="B11" s="8" t="s">
        <v>18</v>
      </c>
      <c r="C11" s="6" t="s">
        <v>19</v>
      </c>
      <c r="D11" s="6" t="s">
        <v>20</v>
      </c>
      <c r="E11" s="18" t="s">
        <v>34</v>
      </c>
      <c r="F11" s="7">
        <v>2.88</v>
      </c>
      <c r="G11" s="7">
        <v>60</v>
      </c>
      <c r="H11" s="7">
        <v>7.0000000000000007E-2</v>
      </c>
      <c r="I11" s="7">
        <v>0.02</v>
      </c>
      <c r="J11" s="9">
        <v>15</v>
      </c>
      <c r="K11"/>
    </row>
    <row r="12" spans="1:12" ht="15.75" thickBot="1" x14ac:dyDescent="0.3">
      <c r="A12" s="59"/>
      <c r="B12" s="10" t="s">
        <v>14</v>
      </c>
      <c r="C12" s="11" t="s">
        <v>32</v>
      </c>
      <c r="D12" s="11" t="s">
        <v>33</v>
      </c>
      <c r="E12" s="19">
        <v>23.5</v>
      </c>
      <c r="F12" s="20">
        <v>0.96</v>
      </c>
      <c r="G12" s="20">
        <f>229.7*0.235</f>
        <v>53.979499999999994</v>
      </c>
      <c r="H12" s="12">
        <f>6.7*0.235</f>
        <v>1.5745</v>
      </c>
      <c r="I12" s="12">
        <f>1.1*0.235</f>
        <v>0.25850000000000001</v>
      </c>
      <c r="J12" s="13">
        <f>48.3*0.235</f>
        <v>11.350499999999998</v>
      </c>
    </row>
    <row r="13" spans="1:12" ht="16.5" thickBot="1" x14ac:dyDescent="0.3">
      <c r="A13" s="74" t="s">
        <v>15</v>
      </c>
      <c r="B13" s="72"/>
      <c r="C13" s="72"/>
      <c r="D13" s="72"/>
      <c r="E13" s="73"/>
      <c r="F13" s="21">
        <f>SUM(F9:F12)</f>
        <v>44.53</v>
      </c>
      <c r="G13" s="21">
        <f t="shared" ref="G13:J13" si="1">SUM(G9:G12)</f>
        <v>464.00449999999995</v>
      </c>
      <c r="H13" s="21">
        <f t="shared" si="1"/>
        <v>13.249500000000001</v>
      </c>
      <c r="I13" s="21">
        <f t="shared" si="1"/>
        <v>27.826000000000001</v>
      </c>
      <c r="J13" s="21">
        <f t="shared" si="1"/>
        <v>40.093499999999999</v>
      </c>
    </row>
    <row r="14" spans="1:12" s="26" customFormat="1" ht="30" x14ac:dyDescent="0.25">
      <c r="A14" s="63" t="s">
        <v>29</v>
      </c>
      <c r="B14" s="22" t="s">
        <v>31</v>
      </c>
      <c r="C14" s="23" t="s">
        <v>61</v>
      </c>
      <c r="D14" s="23" t="s">
        <v>62</v>
      </c>
      <c r="E14" s="15">
        <v>15</v>
      </c>
      <c r="F14" s="16">
        <v>8.49</v>
      </c>
      <c r="G14" s="16">
        <f>592*0.015</f>
        <v>8.879999999999999</v>
      </c>
      <c r="H14" s="16">
        <f>28.85*0.015</f>
        <v>0.43275000000000002</v>
      </c>
      <c r="I14" s="16">
        <f>27.24*0.015</f>
        <v>0.40859999999999996</v>
      </c>
      <c r="J14" s="17">
        <f>57.86*0.015</f>
        <v>0.8679</v>
      </c>
    </row>
    <row r="15" spans="1:12" x14ac:dyDescent="0.25">
      <c r="A15" s="56"/>
      <c r="B15" s="8" t="s">
        <v>16</v>
      </c>
      <c r="C15" s="6" t="s">
        <v>59</v>
      </c>
      <c r="D15" s="6" t="s">
        <v>58</v>
      </c>
      <c r="E15" s="18" t="s">
        <v>44</v>
      </c>
      <c r="F15" s="7">
        <v>12.63</v>
      </c>
      <c r="G15" s="7">
        <f>205*0.25+211*0.1</f>
        <v>72.349999999999994</v>
      </c>
      <c r="H15" s="7">
        <f>2.31*0.25+21.1*0.1</f>
        <v>2.6875000000000004</v>
      </c>
      <c r="I15" s="7">
        <f>19.2*0.25+13.6*0.1</f>
        <v>6.16</v>
      </c>
      <c r="J15" s="9">
        <f>6.89*0.25+0</f>
        <v>1.7224999999999999</v>
      </c>
    </row>
    <row r="16" spans="1:12" s="26" customFormat="1" x14ac:dyDescent="0.25">
      <c r="A16" s="56"/>
      <c r="B16" s="8" t="s">
        <v>13</v>
      </c>
      <c r="C16" s="40" t="s">
        <v>45</v>
      </c>
      <c r="D16" s="40" t="s">
        <v>46</v>
      </c>
      <c r="E16" s="18" t="s">
        <v>47</v>
      </c>
      <c r="F16" s="7">
        <v>38.71</v>
      </c>
      <c r="G16" s="29">
        <f>383*0.8</f>
        <v>306.40000000000003</v>
      </c>
      <c r="H16" s="29">
        <f>12.3*0.8</f>
        <v>9.8400000000000016</v>
      </c>
      <c r="I16" s="29">
        <f>29.5*0.8</f>
        <v>23.6</v>
      </c>
      <c r="J16" s="46">
        <f>16.58*0.8</f>
        <v>13.263999999999999</v>
      </c>
      <c r="K16"/>
    </row>
    <row r="17" spans="1:11" s="26" customFormat="1" x14ac:dyDescent="0.25">
      <c r="A17" s="56"/>
      <c r="B17" s="8" t="s">
        <v>42</v>
      </c>
      <c r="C17" s="40" t="s">
        <v>63</v>
      </c>
      <c r="D17" s="41" t="s">
        <v>64</v>
      </c>
      <c r="E17" s="18">
        <v>200</v>
      </c>
      <c r="F17" s="7">
        <v>8.89</v>
      </c>
      <c r="G17" s="27">
        <v>111</v>
      </c>
      <c r="H17" s="27">
        <v>0.7</v>
      </c>
      <c r="I17" s="27">
        <v>0</v>
      </c>
      <c r="J17" s="28">
        <v>27</v>
      </c>
      <c r="K17"/>
    </row>
    <row r="18" spans="1:11" x14ac:dyDescent="0.25">
      <c r="A18" s="56"/>
      <c r="B18" s="8" t="s">
        <v>21</v>
      </c>
      <c r="C18" s="6" t="s">
        <v>65</v>
      </c>
      <c r="D18" s="6" t="s">
        <v>66</v>
      </c>
      <c r="E18" s="52">
        <v>50</v>
      </c>
      <c r="F18" s="45">
        <v>4.5199999999999996</v>
      </c>
      <c r="G18" s="29">
        <v>170.8</v>
      </c>
      <c r="H18" s="29">
        <v>3.6</v>
      </c>
      <c r="I18" s="29">
        <v>4.5</v>
      </c>
      <c r="J18" s="46">
        <v>29</v>
      </c>
      <c r="K18"/>
    </row>
    <row r="19" spans="1:11" ht="15.75" thickBot="1" x14ac:dyDescent="0.3">
      <c r="A19" s="57"/>
      <c r="B19" s="10" t="s">
        <v>14</v>
      </c>
      <c r="C19" s="11" t="s">
        <v>32</v>
      </c>
      <c r="D19" s="11" t="s">
        <v>33</v>
      </c>
      <c r="E19" s="19">
        <v>36.5</v>
      </c>
      <c r="F19" s="20">
        <v>1.49</v>
      </c>
      <c r="G19" s="20">
        <f>229.7*0.365</f>
        <v>83.840499999999992</v>
      </c>
      <c r="H19" s="12">
        <f>6.7*0.365</f>
        <v>2.4455</v>
      </c>
      <c r="I19" s="12">
        <f>1.1*0.365</f>
        <v>0.40150000000000002</v>
      </c>
      <c r="J19" s="13">
        <f>48.3*0.365</f>
        <v>17.6295</v>
      </c>
      <c r="K19"/>
    </row>
    <row r="20" spans="1:11" ht="16.5" thickBot="1" x14ac:dyDescent="0.3">
      <c r="A20" s="60" t="s">
        <v>15</v>
      </c>
      <c r="B20" s="72"/>
      <c r="C20" s="72"/>
      <c r="D20" s="72"/>
      <c r="E20" s="73"/>
      <c r="F20" s="21">
        <f>SUM(F14:F19)</f>
        <v>74.72999999999999</v>
      </c>
      <c r="G20" s="21">
        <f t="shared" ref="G20:J20" si="2">SUM(G14:G19)</f>
        <v>753.27050000000008</v>
      </c>
      <c r="H20" s="21">
        <f t="shared" si="2"/>
        <v>19.705750000000002</v>
      </c>
      <c r="I20" s="21">
        <f t="shared" si="2"/>
        <v>35.070099999999996</v>
      </c>
      <c r="J20" s="21">
        <f t="shared" si="2"/>
        <v>89.483900000000006</v>
      </c>
      <c r="K20"/>
    </row>
    <row r="21" spans="1:11" s="48" customFormat="1" x14ac:dyDescent="0.25">
      <c r="A21" s="58" t="s">
        <v>30</v>
      </c>
      <c r="B21" s="22" t="s">
        <v>42</v>
      </c>
      <c r="C21" s="23" t="s">
        <v>39</v>
      </c>
      <c r="D21" s="23" t="s">
        <v>43</v>
      </c>
      <c r="E21" s="15">
        <v>200</v>
      </c>
      <c r="F21" s="16">
        <v>34.299999999999997</v>
      </c>
      <c r="G21" s="16">
        <v>160</v>
      </c>
      <c r="H21" s="16">
        <v>6.2</v>
      </c>
      <c r="I21" s="16">
        <v>5</v>
      </c>
      <c r="J21" s="17">
        <v>22</v>
      </c>
      <c r="K21"/>
    </row>
    <row r="22" spans="1:11" s="43" customFormat="1" ht="14.25" customHeight="1" thickBot="1" x14ac:dyDescent="0.3">
      <c r="A22" s="59"/>
      <c r="B22" s="10" t="s">
        <v>21</v>
      </c>
      <c r="C22" s="11" t="s">
        <v>67</v>
      </c>
      <c r="D22" s="11" t="s">
        <v>68</v>
      </c>
      <c r="E22" s="53">
        <v>105</v>
      </c>
      <c r="F22" s="12">
        <v>10.23</v>
      </c>
      <c r="G22" s="44">
        <f>286/75*105</f>
        <v>400.40000000000003</v>
      </c>
      <c r="H22" s="44">
        <f>4.89/75*105</f>
        <v>6.8459999999999992</v>
      </c>
      <c r="I22" s="44">
        <f>8.43/75*105</f>
        <v>11.802</v>
      </c>
      <c r="J22" s="86">
        <f>47.68/75*105</f>
        <v>66.75200000000001</v>
      </c>
    </row>
    <row r="23" spans="1:11" ht="16.5" thickBot="1" x14ac:dyDescent="0.3">
      <c r="A23" s="60" t="s">
        <v>15</v>
      </c>
      <c r="B23" s="61"/>
      <c r="C23" s="61"/>
      <c r="D23" s="61"/>
      <c r="E23" s="62"/>
      <c r="F23" s="3">
        <f>SUM(F21:F22)</f>
        <v>44.53</v>
      </c>
      <c r="G23" s="3">
        <f>SUM(G21:G22)</f>
        <v>560.40000000000009</v>
      </c>
      <c r="H23" s="3">
        <f>SUM(H21:H22)</f>
        <v>13.045999999999999</v>
      </c>
      <c r="I23" s="3">
        <f>SUM(I21:I22)</f>
        <v>16.802</v>
      </c>
      <c r="J23" s="3">
        <f>SUM(J21:J22)</f>
        <v>88.75200000000001</v>
      </c>
      <c r="K23"/>
    </row>
    <row r="25" spans="1:11" ht="15.75" thickBot="1" x14ac:dyDescent="0.3">
      <c r="A25" s="70" t="s">
        <v>25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1" ht="15.75" x14ac:dyDescent="0.25">
      <c r="A26" s="25"/>
      <c r="B26" s="25"/>
      <c r="C26" s="69" t="s">
        <v>23</v>
      </c>
      <c r="D26" s="69"/>
      <c r="G26" s="71"/>
      <c r="H26" s="71"/>
      <c r="I26" s="71"/>
      <c r="J26" s="71"/>
    </row>
    <row r="27" spans="1:11" x14ac:dyDescent="0.25">
      <c r="A27" s="1"/>
      <c r="B27" s="1"/>
      <c r="C27" s="1"/>
      <c r="D27" s="1"/>
    </row>
    <row r="28" spans="1:11" x14ac:dyDescent="0.25">
      <c r="A28" s="55" t="s">
        <v>24</v>
      </c>
      <c r="B28" s="55"/>
    </row>
    <row r="29" spans="1:11" x14ac:dyDescent="0.25">
      <c r="A29" s="55" t="s">
        <v>26</v>
      </c>
      <c r="B29" s="55"/>
    </row>
    <row r="30" spans="1:11" x14ac:dyDescent="0.25">
      <c r="A30" s="4"/>
    </row>
    <row r="34" customFormat="1" x14ac:dyDescent="0.25"/>
    <row r="35" customFormat="1" x14ac:dyDescent="0.25"/>
    <row r="36" customFormat="1" x14ac:dyDescent="0.25"/>
    <row r="37" customFormat="1" x14ac:dyDescent="0.25"/>
  </sheetData>
  <mergeCells count="15">
    <mergeCell ref="B1:C1"/>
    <mergeCell ref="G1:J1"/>
    <mergeCell ref="C26:D26"/>
    <mergeCell ref="A25:J25"/>
    <mergeCell ref="G26:J26"/>
    <mergeCell ref="A8:E8"/>
    <mergeCell ref="A9:A12"/>
    <mergeCell ref="A13:E13"/>
    <mergeCell ref="A20:E20"/>
    <mergeCell ref="A28:B28"/>
    <mergeCell ref="A29:B29"/>
    <mergeCell ref="A3:A7"/>
    <mergeCell ref="A21:A22"/>
    <mergeCell ref="A23:E23"/>
    <mergeCell ref="A14:A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3" sqref="A3:A7"/>
    </sheetView>
  </sheetViews>
  <sheetFormatPr defaultRowHeight="15" x14ac:dyDescent="0.25"/>
  <cols>
    <col min="1" max="1" width="29.8554687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3" t="s">
        <v>22</v>
      </c>
      <c r="C1" s="84"/>
      <c r="D1" s="1" t="s">
        <v>1</v>
      </c>
      <c r="E1" s="30"/>
      <c r="F1" s="1" t="s">
        <v>2</v>
      </c>
      <c r="G1" s="66">
        <v>44579</v>
      </c>
      <c r="H1" s="67"/>
      <c r="I1" s="67"/>
      <c r="J1" s="68"/>
      <c r="K1" s="1"/>
      <c r="L1" s="1"/>
    </row>
    <row r="2" spans="1:12" ht="15.75" thickBot="1" x14ac:dyDescent="0.3">
      <c r="A2" s="49" t="s">
        <v>3</v>
      </c>
      <c r="B2" s="31" t="s">
        <v>4</v>
      </c>
      <c r="C2" s="32" t="s">
        <v>5</v>
      </c>
      <c r="D2" s="32" t="s">
        <v>6</v>
      </c>
      <c r="E2" s="32" t="s">
        <v>7</v>
      </c>
      <c r="F2" s="32" t="s">
        <v>8</v>
      </c>
      <c r="G2" s="32" t="s">
        <v>9</v>
      </c>
      <c r="H2" s="32" t="s">
        <v>10</v>
      </c>
      <c r="I2" s="32" t="s">
        <v>11</v>
      </c>
      <c r="J2" s="33" t="s">
        <v>12</v>
      </c>
    </row>
    <row r="3" spans="1:12" ht="15.75" customHeight="1" x14ac:dyDescent="0.25">
      <c r="A3" s="56" t="s">
        <v>75</v>
      </c>
      <c r="B3" s="22" t="s">
        <v>13</v>
      </c>
      <c r="C3" s="14" t="s">
        <v>40</v>
      </c>
      <c r="D3" s="14" t="s">
        <v>41</v>
      </c>
      <c r="E3" s="15">
        <v>50</v>
      </c>
      <c r="F3" s="16">
        <v>21</v>
      </c>
      <c r="G3" s="16">
        <f>182*1</f>
        <v>182</v>
      </c>
      <c r="H3" s="16">
        <f>6.74*1</f>
        <v>6.74</v>
      </c>
      <c r="I3" s="16">
        <f>13.91*1</f>
        <v>13.91</v>
      </c>
      <c r="J3" s="17">
        <f>7.09*1</f>
        <v>7.09</v>
      </c>
    </row>
    <row r="4" spans="1:12" x14ac:dyDescent="0.25">
      <c r="A4" s="56"/>
      <c r="B4" s="8" t="s">
        <v>17</v>
      </c>
      <c r="C4" s="6" t="s">
        <v>52</v>
      </c>
      <c r="D4" s="6" t="s">
        <v>53</v>
      </c>
      <c r="E4" s="18">
        <v>100</v>
      </c>
      <c r="F4" s="7">
        <v>11.33</v>
      </c>
      <c r="G4" s="7">
        <f>1625*0.1</f>
        <v>162.5</v>
      </c>
      <c r="H4" s="7">
        <f>57.32*0.1</f>
        <v>5.7320000000000002</v>
      </c>
      <c r="I4" s="7">
        <f>40.62*0.1</f>
        <v>4.0620000000000003</v>
      </c>
      <c r="J4" s="9">
        <f>257.61*0.1</f>
        <v>25.761000000000003</v>
      </c>
    </row>
    <row r="5" spans="1:12" s="42" customFormat="1" x14ac:dyDescent="0.25">
      <c r="A5" s="56"/>
      <c r="B5" s="8" t="s">
        <v>42</v>
      </c>
      <c r="C5" s="6" t="s">
        <v>39</v>
      </c>
      <c r="D5" s="6" t="s">
        <v>43</v>
      </c>
      <c r="E5" s="18">
        <v>200</v>
      </c>
      <c r="F5" s="7">
        <v>34.299999999999997</v>
      </c>
      <c r="G5" s="7">
        <v>160</v>
      </c>
      <c r="H5" s="7">
        <v>6.2</v>
      </c>
      <c r="I5" s="7">
        <v>5</v>
      </c>
      <c r="J5" s="9">
        <v>22</v>
      </c>
    </row>
    <row r="6" spans="1:12" s="26" customFormat="1" ht="14.25" customHeight="1" x14ac:dyDescent="0.25">
      <c r="A6" s="56"/>
      <c r="B6" s="8" t="s">
        <v>54</v>
      </c>
      <c r="C6" s="34" t="s">
        <v>39</v>
      </c>
      <c r="D6" s="34" t="s">
        <v>55</v>
      </c>
      <c r="E6" s="54">
        <v>12</v>
      </c>
      <c r="F6" s="36">
        <v>2.5299999999999998</v>
      </c>
      <c r="G6" s="37">
        <f>480*0.12</f>
        <v>57.599999999999994</v>
      </c>
      <c r="H6" s="37">
        <f>9*0.12</f>
        <v>1.08</v>
      </c>
      <c r="I6" s="37">
        <f>17*0.12</f>
        <v>2.04</v>
      </c>
      <c r="J6" s="38">
        <f>70*0.12</f>
        <v>8.4</v>
      </c>
    </row>
    <row r="7" spans="1:12" ht="15.75" thickBot="1" x14ac:dyDescent="0.3">
      <c r="A7" s="57"/>
      <c r="B7" s="10" t="s">
        <v>14</v>
      </c>
      <c r="C7" s="11" t="s">
        <v>32</v>
      </c>
      <c r="D7" s="11" t="s">
        <v>33</v>
      </c>
      <c r="E7" s="19">
        <v>8</v>
      </c>
      <c r="F7" s="20">
        <v>0.34</v>
      </c>
      <c r="G7" s="20">
        <f>229.7*0.08</f>
        <v>18.376000000000001</v>
      </c>
      <c r="H7" s="12">
        <f>6.7*0.08</f>
        <v>0.53600000000000003</v>
      </c>
      <c r="I7" s="12">
        <f>1.1*0.08</f>
        <v>8.8000000000000009E-2</v>
      </c>
      <c r="J7" s="13">
        <f>48.3*0.08</f>
        <v>3.8639999999999999</v>
      </c>
    </row>
    <row r="8" spans="1:12" ht="16.5" thickBot="1" x14ac:dyDescent="0.3">
      <c r="A8" s="85" t="s">
        <v>15</v>
      </c>
      <c r="B8" s="72"/>
      <c r="C8" s="72"/>
      <c r="D8" s="72"/>
      <c r="E8" s="73"/>
      <c r="F8" s="21">
        <f>SUM(F3:F7)</f>
        <v>69.5</v>
      </c>
      <c r="G8" s="21">
        <f t="shared" ref="G8:J8" si="0">SUM(G3:G7)</f>
        <v>580.476</v>
      </c>
      <c r="H8" s="21">
        <f t="shared" si="0"/>
        <v>20.288000000000004</v>
      </c>
      <c r="I8" s="21">
        <f t="shared" si="0"/>
        <v>25.1</v>
      </c>
      <c r="J8" s="21">
        <f t="shared" si="0"/>
        <v>67.114999999999995</v>
      </c>
    </row>
    <row r="9" spans="1:12" ht="30" x14ac:dyDescent="0.25">
      <c r="A9" s="75" t="s">
        <v>35</v>
      </c>
      <c r="B9" s="22" t="s">
        <v>13</v>
      </c>
      <c r="C9" s="14" t="s">
        <v>69</v>
      </c>
      <c r="D9" s="14" t="s">
        <v>70</v>
      </c>
      <c r="E9" s="15" t="s">
        <v>71</v>
      </c>
      <c r="F9" s="16">
        <v>21.67</v>
      </c>
      <c r="G9" s="16">
        <f>320-20</f>
        <v>300</v>
      </c>
      <c r="H9" s="16">
        <f>8.85</f>
        <v>8.85</v>
      </c>
      <c r="I9" s="16">
        <f>9.55</f>
        <v>9.5500000000000007</v>
      </c>
      <c r="J9" s="17">
        <f>49.84-4.49</f>
        <v>45.35</v>
      </c>
    </row>
    <row r="10" spans="1:12" s="42" customFormat="1" x14ac:dyDescent="0.25">
      <c r="A10" s="81"/>
      <c r="B10" s="8" t="s">
        <v>18</v>
      </c>
      <c r="C10" s="6" t="s">
        <v>19</v>
      </c>
      <c r="D10" s="6" t="s">
        <v>20</v>
      </c>
      <c r="E10" s="18" t="s">
        <v>34</v>
      </c>
      <c r="F10" s="7">
        <v>2.88</v>
      </c>
      <c r="G10" s="7">
        <v>60</v>
      </c>
      <c r="H10" s="7">
        <v>7.0000000000000007E-2</v>
      </c>
      <c r="I10" s="7">
        <v>0.02</v>
      </c>
      <c r="J10" s="9">
        <v>15</v>
      </c>
    </row>
    <row r="11" spans="1:12" s="42" customFormat="1" ht="15.75" thickBot="1" x14ac:dyDescent="0.3">
      <c r="A11" s="76"/>
      <c r="B11" s="10" t="s">
        <v>14</v>
      </c>
      <c r="C11" s="11" t="s">
        <v>39</v>
      </c>
      <c r="D11" s="11" t="s">
        <v>72</v>
      </c>
      <c r="E11" s="19">
        <v>18</v>
      </c>
      <c r="F11" s="20">
        <v>2.4500000000000002</v>
      </c>
      <c r="G11" s="20">
        <f>280*0.18</f>
        <v>50.4</v>
      </c>
      <c r="H11" s="12">
        <f>8*0.18</f>
        <v>1.44</v>
      </c>
      <c r="I11" s="12">
        <f>3*0.18</f>
        <v>0.54</v>
      </c>
      <c r="J11" s="13">
        <f>54*0.18</f>
        <v>9.7199999999999989</v>
      </c>
    </row>
    <row r="12" spans="1:12" ht="16.5" thickBot="1" x14ac:dyDescent="0.3">
      <c r="A12" s="82" t="s">
        <v>15</v>
      </c>
      <c r="B12" s="72"/>
      <c r="C12" s="72"/>
      <c r="D12" s="72"/>
      <c r="E12" s="73"/>
      <c r="F12" s="21">
        <f>SUM(F9:F11)</f>
        <v>27</v>
      </c>
      <c r="G12" s="21">
        <f>SUM(G9:G11)</f>
        <v>410.4</v>
      </c>
      <c r="H12" s="21">
        <f>SUM(H9:H11)</f>
        <v>10.36</v>
      </c>
      <c r="I12" s="21">
        <f>SUM(I9:I11)</f>
        <v>10.11</v>
      </c>
      <c r="J12" s="21">
        <f>SUM(J9:J11)</f>
        <v>70.069999999999993</v>
      </c>
    </row>
    <row r="13" spans="1:12" s="42" customFormat="1" x14ac:dyDescent="0.25">
      <c r="A13" s="75" t="s">
        <v>37</v>
      </c>
      <c r="B13" s="22" t="s">
        <v>31</v>
      </c>
      <c r="C13" s="23" t="s">
        <v>51</v>
      </c>
      <c r="D13" s="23" t="s">
        <v>73</v>
      </c>
      <c r="E13" s="15" t="s">
        <v>74</v>
      </c>
      <c r="F13" s="16">
        <v>4.28</v>
      </c>
      <c r="G13" s="16">
        <f>250*0.2+229.7*0.31</f>
        <v>121.20699999999999</v>
      </c>
      <c r="H13" s="16">
        <f>0.4*0.2+6.7*0.31</f>
        <v>2.157</v>
      </c>
      <c r="I13" s="16">
        <f>0+1.1*0.31</f>
        <v>0.34100000000000003</v>
      </c>
      <c r="J13" s="17">
        <f>65*0.2+48.3*0.31</f>
        <v>27.972999999999999</v>
      </c>
    </row>
    <row r="14" spans="1:12" s="43" customFormat="1" ht="15.75" thickBot="1" x14ac:dyDescent="0.3">
      <c r="A14" s="76"/>
      <c r="B14" s="10" t="s">
        <v>18</v>
      </c>
      <c r="C14" s="11" t="s">
        <v>19</v>
      </c>
      <c r="D14" s="11" t="s">
        <v>20</v>
      </c>
      <c r="E14" s="19" t="s">
        <v>34</v>
      </c>
      <c r="F14" s="20">
        <v>2.72</v>
      </c>
      <c r="G14" s="20">
        <v>60</v>
      </c>
      <c r="H14" s="20">
        <v>7.0000000000000007E-2</v>
      </c>
      <c r="I14" s="20">
        <v>0.02</v>
      </c>
      <c r="J14" s="47">
        <v>15</v>
      </c>
    </row>
    <row r="15" spans="1:12" ht="16.5" thickBot="1" x14ac:dyDescent="0.3">
      <c r="A15" s="77" t="s">
        <v>15</v>
      </c>
      <c r="B15" s="72"/>
      <c r="C15" s="72"/>
      <c r="D15" s="72"/>
      <c r="E15" s="73"/>
      <c r="F15" s="21">
        <f>SUM(F13:F14)</f>
        <v>7</v>
      </c>
      <c r="G15" s="21">
        <f>SUM(G13:G14)</f>
        <v>181.20699999999999</v>
      </c>
      <c r="H15" s="21">
        <f>SUM(H13:H14)</f>
        <v>2.2269999999999999</v>
      </c>
      <c r="I15" s="21">
        <f>SUM(I13:I14)</f>
        <v>0.36100000000000004</v>
      </c>
      <c r="J15" s="21">
        <f>SUM(J13:J14)</f>
        <v>42.972999999999999</v>
      </c>
    </row>
    <row r="16" spans="1:12" x14ac:dyDescent="0.25">
      <c r="A16" s="58" t="s">
        <v>36</v>
      </c>
      <c r="B16" s="22" t="s">
        <v>16</v>
      </c>
      <c r="C16" s="23" t="s">
        <v>59</v>
      </c>
      <c r="D16" s="23" t="s">
        <v>58</v>
      </c>
      <c r="E16" s="15" t="s">
        <v>44</v>
      </c>
      <c r="F16" s="16">
        <v>12.63</v>
      </c>
      <c r="G16" s="16">
        <f>205*0.25+211*0.1</f>
        <v>72.349999999999994</v>
      </c>
      <c r="H16" s="16">
        <f>2.31*0.25+21.1*0.1</f>
        <v>2.6875000000000004</v>
      </c>
      <c r="I16" s="16">
        <f>19.2*0.25+13.6*0.1</f>
        <v>6.16</v>
      </c>
      <c r="J16" s="17">
        <f>6.89*0.25+0</f>
        <v>1.7224999999999999</v>
      </c>
    </row>
    <row r="17" spans="1:10" x14ac:dyDescent="0.25">
      <c r="A17" s="59"/>
      <c r="B17" s="8" t="s">
        <v>13</v>
      </c>
      <c r="C17" s="40" t="s">
        <v>45</v>
      </c>
      <c r="D17" s="39" t="s">
        <v>46</v>
      </c>
      <c r="E17" s="18" t="s">
        <v>60</v>
      </c>
      <c r="F17" s="7">
        <v>28.06</v>
      </c>
      <c r="G17" s="29">
        <f>383/140*101.5</f>
        <v>277.67500000000001</v>
      </c>
      <c r="H17" s="29">
        <f>12.3/140*101.5</f>
        <v>8.9175000000000004</v>
      </c>
      <c r="I17" s="29">
        <f>29.5/140*101.5</f>
        <v>21.387499999999999</v>
      </c>
      <c r="J17" s="46">
        <f>16.58/140*101.5</f>
        <v>12.020499999999998</v>
      </c>
    </row>
    <row r="18" spans="1:10" x14ac:dyDescent="0.25">
      <c r="A18" s="59"/>
      <c r="B18" s="8" t="s">
        <v>18</v>
      </c>
      <c r="C18" s="6" t="s">
        <v>19</v>
      </c>
      <c r="D18" s="6" t="s">
        <v>20</v>
      </c>
      <c r="E18" s="18" t="s">
        <v>34</v>
      </c>
      <c r="F18" s="7">
        <v>2.88</v>
      </c>
      <c r="G18" s="7">
        <v>60</v>
      </c>
      <c r="H18" s="7">
        <v>7.0000000000000007E-2</v>
      </c>
      <c r="I18" s="7">
        <v>0.02</v>
      </c>
      <c r="J18" s="9">
        <v>15</v>
      </c>
    </row>
    <row r="19" spans="1:10" ht="15.75" thickBot="1" x14ac:dyDescent="0.3">
      <c r="A19" s="59"/>
      <c r="B19" s="10" t="s">
        <v>14</v>
      </c>
      <c r="C19" s="11" t="s">
        <v>32</v>
      </c>
      <c r="D19" s="11" t="s">
        <v>33</v>
      </c>
      <c r="E19" s="19">
        <v>35</v>
      </c>
      <c r="F19" s="20">
        <v>1.43</v>
      </c>
      <c r="G19" s="20">
        <f>229.7*0.35</f>
        <v>80.394999999999996</v>
      </c>
      <c r="H19" s="12">
        <f>6.7*0.35</f>
        <v>2.3449999999999998</v>
      </c>
      <c r="I19" s="12">
        <f>1.1*0.35</f>
        <v>0.38500000000000001</v>
      </c>
      <c r="J19" s="13">
        <f>48.3*0.35</f>
        <v>16.904999999999998</v>
      </c>
    </row>
    <row r="20" spans="1:10" ht="16.5" thickBot="1" x14ac:dyDescent="0.3">
      <c r="A20" s="74" t="s">
        <v>15</v>
      </c>
      <c r="B20" s="79"/>
      <c r="C20" s="79"/>
      <c r="D20" s="79"/>
      <c r="E20" s="80"/>
      <c r="F20" s="24">
        <f>SUM(F16:F19)</f>
        <v>45</v>
      </c>
      <c r="G20" s="24">
        <f>SUM(G16:G19)</f>
        <v>490.41999999999996</v>
      </c>
      <c r="H20" s="24">
        <f>SUM(H16:H19)</f>
        <v>14.02</v>
      </c>
      <c r="I20" s="24">
        <f>SUM(I16:I19)</f>
        <v>27.952500000000001</v>
      </c>
      <c r="J20" s="24">
        <f>SUM(J16:J19)</f>
        <v>45.647999999999996</v>
      </c>
    </row>
    <row r="21" spans="1:10" x14ac:dyDescent="0.25">
      <c r="A21" s="78" t="s">
        <v>38</v>
      </c>
      <c r="B21" s="22" t="s">
        <v>31</v>
      </c>
      <c r="C21" s="23" t="s">
        <v>49</v>
      </c>
      <c r="D21" s="23" t="s">
        <v>50</v>
      </c>
      <c r="E21" s="15">
        <v>10</v>
      </c>
      <c r="F21" s="16">
        <v>2.88</v>
      </c>
      <c r="G21" s="16">
        <f>6/50*10</f>
        <v>1.2</v>
      </c>
      <c r="H21" s="16">
        <f>0.35/50*10</f>
        <v>6.9999999999999993E-2</v>
      </c>
      <c r="I21" s="16">
        <f>0.05/50*10</f>
        <v>0.01</v>
      </c>
      <c r="J21" s="17">
        <f>0.95/50*10</f>
        <v>0.19</v>
      </c>
    </row>
    <row r="22" spans="1:10" x14ac:dyDescent="0.25">
      <c r="A22" s="78"/>
      <c r="B22" s="8" t="s">
        <v>16</v>
      </c>
      <c r="C22" s="6" t="s">
        <v>59</v>
      </c>
      <c r="D22" s="6" t="s">
        <v>58</v>
      </c>
      <c r="E22" s="18" t="s">
        <v>44</v>
      </c>
      <c r="F22" s="7">
        <v>12.63</v>
      </c>
      <c r="G22" s="7">
        <f>205*0.25+211*0.1</f>
        <v>72.349999999999994</v>
      </c>
      <c r="H22" s="7">
        <f>2.31*0.25+21.1*0.1</f>
        <v>2.6875000000000004</v>
      </c>
      <c r="I22" s="7">
        <f>19.2*0.25+13.6*0.1</f>
        <v>6.16</v>
      </c>
      <c r="J22" s="9">
        <f>6.89*0.25+0</f>
        <v>1.7224999999999999</v>
      </c>
    </row>
    <row r="23" spans="1:10" x14ac:dyDescent="0.25">
      <c r="A23" s="78"/>
      <c r="B23" s="8" t="s">
        <v>13</v>
      </c>
      <c r="C23" s="40" t="s">
        <v>45</v>
      </c>
      <c r="D23" s="40" t="s">
        <v>46</v>
      </c>
      <c r="E23" s="18" t="s">
        <v>47</v>
      </c>
      <c r="F23" s="7">
        <v>38.71</v>
      </c>
      <c r="G23" s="29">
        <f>383*0.8</f>
        <v>306.40000000000003</v>
      </c>
      <c r="H23" s="29">
        <f>12.3*0.8</f>
        <v>9.8400000000000016</v>
      </c>
      <c r="I23" s="29">
        <f>29.5*0.8</f>
        <v>23.6</v>
      </c>
      <c r="J23" s="46">
        <f>16.58*0.8</f>
        <v>13.263999999999999</v>
      </c>
    </row>
    <row r="24" spans="1:10" x14ac:dyDescent="0.25">
      <c r="A24" s="78"/>
      <c r="B24" s="8" t="s">
        <v>42</v>
      </c>
      <c r="C24" s="40" t="s">
        <v>63</v>
      </c>
      <c r="D24" s="41" t="s">
        <v>64</v>
      </c>
      <c r="E24" s="18">
        <v>200</v>
      </c>
      <c r="F24" s="7">
        <v>8.89</v>
      </c>
      <c r="G24" s="27">
        <v>111</v>
      </c>
      <c r="H24" s="27">
        <v>0.7</v>
      </c>
      <c r="I24" s="27">
        <v>0</v>
      </c>
      <c r="J24" s="28">
        <v>27</v>
      </c>
    </row>
    <row r="25" spans="1:10" x14ac:dyDescent="0.25">
      <c r="A25" s="78"/>
      <c r="B25" s="8" t="s">
        <v>21</v>
      </c>
      <c r="C25" s="6" t="s">
        <v>65</v>
      </c>
      <c r="D25" s="6" t="s">
        <v>66</v>
      </c>
      <c r="E25" s="52">
        <v>50</v>
      </c>
      <c r="F25" s="45">
        <v>4.5199999999999996</v>
      </c>
      <c r="G25" s="29">
        <v>170.8</v>
      </c>
      <c r="H25" s="29">
        <v>3.6</v>
      </c>
      <c r="I25" s="29">
        <v>4.5</v>
      </c>
      <c r="J25" s="46">
        <v>29</v>
      </c>
    </row>
    <row r="26" spans="1:10" ht="15.75" thickBot="1" x14ac:dyDescent="0.3">
      <c r="A26" s="78"/>
      <c r="B26" s="10" t="s">
        <v>14</v>
      </c>
      <c r="C26" s="11" t="s">
        <v>32</v>
      </c>
      <c r="D26" s="11" t="s">
        <v>33</v>
      </c>
      <c r="E26" s="19">
        <v>46</v>
      </c>
      <c r="F26" s="20">
        <v>1.87</v>
      </c>
      <c r="G26" s="20">
        <f>229.7*0.46</f>
        <v>105.66200000000001</v>
      </c>
      <c r="H26" s="12">
        <f>6.7*0.46</f>
        <v>3.0820000000000003</v>
      </c>
      <c r="I26" s="12">
        <f>1.1*0.46</f>
        <v>0.50600000000000012</v>
      </c>
      <c r="J26" s="13">
        <f>48.3*0.46</f>
        <v>22.218</v>
      </c>
    </row>
    <row r="27" spans="1:10" ht="16.5" thickBot="1" x14ac:dyDescent="0.3">
      <c r="A27" s="74" t="s">
        <v>15</v>
      </c>
      <c r="B27" s="79"/>
      <c r="C27" s="79"/>
      <c r="D27" s="79"/>
      <c r="E27" s="80"/>
      <c r="F27" s="24">
        <f>SUM(F21:F26)</f>
        <v>69.5</v>
      </c>
      <c r="G27" s="24">
        <f t="shared" ref="G27:J27" si="1">SUM(G21:G26)</f>
        <v>767.41200000000003</v>
      </c>
      <c r="H27" s="24">
        <f t="shared" si="1"/>
        <v>19.979500000000002</v>
      </c>
      <c r="I27" s="24">
        <f t="shared" si="1"/>
        <v>34.776000000000003</v>
      </c>
      <c r="J27" s="24">
        <f t="shared" si="1"/>
        <v>93.394500000000008</v>
      </c>
    </row>
    <row r="29" spans="1:10" ht="15.75" thickBot="1" x14ac:dyDescent="0.3">
      <c r="A29" s="70" t="s">
        <v>25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15.75" x14ac:dyDescent="0.25">
      <c r="A30" s="25"/>
      <c r="B30" s="25"/>
      <c r="C30" s="69" t="s">
        <v>23</v>
      </c>
      <c r="D30" s="69"/>
      <c r="G30" s="71"/>
      <c r="H30" s="71"/>
      <c r="I30" s="71"/>
      <c r="J30" s="71"/>
    </row>
    <row r="31" spans="1:10" x14ac:dyDescent="0.25">
      <c r="A31" s="1"/>
      <c r="B31" s="1"/>
      <c r="C31" s="1"/>
      <c r="D31" s="1"/>
    </row>
    <row r="32" spans="1:10" x14ac:dyDescent="0.25">
      <c r="A32" s="55" t="s">
        <v>24</v>
      </c>
      <c r="B32" s="55"/>
    </row>
    <row r="33" spans="1:2" x14ac:dyDescent="0.25">
      <c r="A33" s="55" t="s">
        <v>26</v>
      </c>
      <c r="B33" s="55"/>
    </row>
    <row r="34" spans="1:2" x14ac:dyDescent="0.25">
      <c r="A34" s="4"/>
    </row>
  </sheetData>
  <mergeCells count="17">
    <mergeCell ref="A9:A11"/>
    <mergeCell ref="A12:E12"/>
    <mergeCell ref="B1:C1"/>
    <mergeCell ref="G1:J1"/>
    <mergeCell ref="A3:A7"/>
    <mergeCell ref="A8:E8"/>
    <mergeCell ref="A32:B32"/>
    <mergeCell ref="A33:B33"/>
    <mergeCell ref="A13:A14"/>
    <mergeCell ref="A15:E15"/>
    <mergeCell ref="A21:A26"/>
    <mergeCell ref="A27:E27"/>
    <mergeCell ref="A29:J29"/>
    <mergeCell ref="C30:D30"/>
    <mergeCell ref="G30:J30"/>
    <mergeCell ref="A20:E20"/>
    <mergeCell ref="A16:A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18.01 1-4 кл</vt:lpstr>
      <vt:lpstr>18.01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2022-01-17T11:57:55Z</dcterms:modified>
</cp:coreProperties>
</file>