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25.01 1-4 кл" sheetId="1" r:id="rId1"/>
    <sheet name="25.01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" l="1"/>
  <c r="I27" i="2"/>
  <c r="H27" i="2" l="1"/>
  <c r="G27" i="2"/>
  <c r="J24" i="2" l="1"/>
  <c r="I24" i="2"/>
  <c r="H24" i="2"/>
  <c r="G24" i="2"/>
  <c r="J28" i="2"/>
  <c r="I28" i="2"/>
  <c r="H28" i="2"/>
  <c r="G28" i="2"/>
  <c r="J26" i="2"/>
  <c r="I26" i="2"/>
  <c r="H26" i="2"/>
  <c r="G26" i="2"/>
  <c r="J25" i="2"/>
  <c r="I25" i="2"/>
  <c r="H25" i="2"/>
  <c r="G25" i="2"/>
  <c r="J23" i="2"/>
  <c r="I23" i="2"/>
  <c r="H23" i="2"/>
  <c r="G23" i="2"/>
  <c r="J21" i="2"/>
  <c r="I21" i="2"/>
  <c r="H21" i="2"/>
  <c r="G21" i="2"/>
  <c r="J19" i="2"/>
  <c r="I19" i="2"/>
  <c r="H19" i="2"/>
  <c r="G19" i="2"/>
  <c r="J18" i="2"/>
  <c r="I18" i="2"/>
  <c r="H18" i="2"/>
  <c r="G18" i="2"/>
  <c r="J17" i="2"/>
  <c r="I17" i="2"/>
  <c r="H17" i="2"/>
  <c r="G17" i="2"/>
  <c r="J14" i="2"/>
  <c r="I14" i="2"/>
  <c r="H14" i="2"/>
  <c r="G14" i="2"/>
  <c r="J12" i="2" l="1"/>
  <c r="I12" i="2"/>
  <c r="H12" i="2"/>
  <c r="G12" i="2"/>
  <c r="J7" i="2"/>
  <c r="I7" i="2"/>
  <c r="H7" i="2"/>
  <c r="G7" i="2"/>
  <c r="J4" i="2"/>
  <c r="I4" i="2"/>
  <c r="H4" i="2"/>
  <c r="G4" i="2"/>
  <c r="J3" i="2"/>
  <c r="I3" i="2"/>
  <c r="H3" i="2"/>
  <c r="G3" i="2"/>
  <c r="J24" i="1"/>
  <c r="I24" i="1"/>
  <c r="H24" i="1"/>
  <c r="G24" i="1"/>
  <c r="J19" i="1"/>
  <c r="I19" i="1"/>
  <c r="H19" i="1"/>
  <c r="G19" i="1"/>
  <c r="J21" i="1" l="1"/>
  <c r="I21" i="1"/>
  <c r="H21" i="1"/>
  <c r="G21" i="1"/>
  <c r="J18" i="1"/>
  <c r="I18" i="1"/>
  <c r="H18" i="1"/>
  <c r="G18" i="1"/>
  <c r="J17" i="1"/>
  <c r="I17" i="1"/>
  <c r="H17" i="1"/>
  <c r="G17" i="1"/>
  <c r="J14" i="1"/>
  <c r="I14" i="1"/>
  <c r="H15" i="1"/>
  <c r="H14" i="1"/>
  <c r="G14" i="1"/>
  <c r="J12" i="1"/>
  <c r="I12" i="1"/>
  <c r="H12" i="1"/>
  <c r="G12" i="1"/>
  <c r="J11" i="1"/>
  <c r="I11" i="1"/>
  <c r="H11" i="1"/>
  <c r="G11" i="1"/>
  <c r="J8" i="1"/>
  <c r="I8" i="1"/>
  <c r="H8" i="1"/>
  <c r="G8" i="1"/>
  <c r="J20" i="1" l="1"/>
  <c r="I20" i="1"/>
  <c r="H20" i="1"/>
  <c r="G20" i="1"/>
  <c r="J3" i="1" l="1"/>
  <c r="I3" i="1"/>
  <c r="H3" i="1"/>
  <c r="G3" i="1"/>
  <c r="F13" i="2" l="1"/>
  <c r="J9" i="2"/>
  <c r="I9" i="2"/>
  <c r="H9" i="2"/>
  <c r="G9" i="2"/>
  <c r="J10" i="2"/>
  <c r="I10" i="2"/>
  <c r="H10" i="2"/>
  <c r="G10" i="2"/>
  <c r="F8" i="2"/>
  <c r="J8" i="2"/>
  <c r="I8" i="2"/>
  <c r="H8" i="2"/>
  <c r="G8" i="2"/>
  <c r="G13" i="2" l="1"/>
  <c r="I13" i="2"/>
  <c r="H13" i="2"/>
  <c r="J13" i="2"/>
  <c r="J5" i="1"/>
  <c r="I5" i="1"/>
  <c r="H5" i="1"/>
  <c r="G5" i="1"/>
  <c r="J4" i="1"/>
  <c r="I4" i="1"/>
  <c r="H4" i="1"/>
  <c r="G4" i="1"/>
  <c r="F9" i="1"/>
  <c r="J9" i="1" l="1"/>
  <c r="I9" i="1"/>
  <c r="H9" i="1"/>
  <c r="G9" i="1"/>
  <c r="F29" i="2" l="1"/>
  <c r="I29" i="2"/>
  <c r="G29" i="2"/>
  <c r="F22" i="1"/>
  <c r="H29" i="2" l="1"/>
  <c r="J29" i="2"/>
  <c r="F15" i="1"/>
  <c r="G22" i="2" l="1"/>
  <c r="H22" i="2"/>
  <c r="I22" i="2"/>
  <c r="J22" i="2"/>
  <c r="F22" i="2"/>
  <c r="F16" i="2"/>
  <c r="F25" i="1"/>
  <c r="J25" i="1" l="1"/>
  <c r="I25" i="1"/>
  <c r="H25" i="1"/>
  <c r="G25" i="1"/>
  <c r="J16" i="1"/>
  <c r="J22" i="1" s="1"/>
  <c r="I16" i="1"/>
  <c r="I22" i="1" s="1"/>
  <c r="H16" i="1"/>
  <c r="H22" i="1" s="1"/>
  <c r="G16" i="1"/>
  <c r="G22" i="1" s="1"/>
  <c r="J10" i="1"/>
  <c r="J15" i="1" s="1"/>
  <c r="I10" i="1"/>
  <c r="I15" i="1" s="1"/>
  <c r="H10" i="1"/>
  <c r="G10" i="1"/>
  <c r="G15" i="1" s="1"/>
  <c r="J16" i="2" l="1"/>
  <c r="I16" i="2"/>
  <c r="H16" i="2"/>
  <c r="G16" i="2"/>
</calcChain>
</file>

<file path=xl/sharedStrings.xml><?xml version="1.0" encoding="utf-8"?>
<sst xmlns="http://schemas.openxmlformats.org/spreadsheetml/2006/main" count="192" uniqueCount="76">
  <si>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</si>
  <si>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</si>
  <si>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</si>
  <si>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</si>
  <si>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</si>
  <si>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</si>
  <si>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</si>
  <si>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</si>
  <si>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</si>
  <si>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</si>
  <si>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</si>
  <si>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</si>
  <si>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</si>
  <si>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</si>
  <si>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</si>
  <si>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</si>
  <si>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</si>
  <si>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</si>
  <si>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</si>
  <si>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</si>
  <si>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</si>
  <si>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</si>
  <si>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</si>
  <si>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</si>
  <si>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</si>
  <si>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</si>
  <si>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</si>
  <si>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</si>
  <si>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</si>
  <si>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</si>
  <si>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</si>
  <si>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ТТК№5</t>
  </si>
  <si>
    <t>Батон "Домашний"</t>
  </si>
  <si>
    <t>200/15</t>
  </si>
  <si>
    <t>250/10/2</t>
  </si>
  <si>
    <t>Завтрак 5-11 кл с доплатой 62,50 руб. и льготники с доплатой 42,50 руб. 1 смена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</si>
  <si>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</si>
  <si>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</si>
  <si>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</si>
  <si>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</si>
  <si>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№82-2015г.</t>
  </si>
  <si>
    <t>Борщ с капустой и картофелем со сметаной и зеленью</t>
  </si>
  <si>
    <t>ТТК №48</t>
  </si>
  <si>
    <t>№302-2015г.</t>
  </si>
  <si>
    <t>Каша рассыпчатая гречневая</t>
  </si>
  <si>
    <t>35/35</t>
  </si>
  <si>
    <t>Напиток</t>
  </si>
  <si>
    <t>ПР</t>
  </si>
  <si>
    <t>200</t>
  </si>
  <si>
    <t>Кондитерское изделие</t>
  </si>
  <si>
    <t>№424-2015г.</t>
  </si>
  <si>
    <t>Булочка домашняя</t>
  </si>
  <si>
    <t>Закуска</t>
  </si>
  <si>
    <t>№71-2015г.</t>
  </si>
  <si>
    <t>Овощи натуральные свежие (огурцы)</t>
  </si>
  <si>
    <t>№269-2015г.</t>
  </si>
  <si>
    <t>Котлета "Особая" из говядины и свинины</t>
  </si>
  <si>
    <t>№312-2015г.</t>
  </si>
  <si>
    <t>Пюре картофельное</t>
  </si>
  <si>
    <t>Молочный коктейль "Авишка" 2,5%</t>
  </si>
  <si>
    <t>ТТК №10</t>
  </si>
  <si>
    <t>Пирог "Витаминный"</t>
  </si>
  <si>
    <t>№379-2015г.</t>
  </si>
  <si>
    <t>Кофейный напиток с молоком</t>
  </si>
  <si>
    <t>№425-2015г.</t>
  </si>
  <si>
    <t>Булочка дорожная</t>
  </si>
  <si>
    <t>Филе цыплёнка тушёное</t>
  </si>
  <si>
    <t>17/17</t>
  </si>
  <si>
    <t>40/40</t>
  </si>
  <si>
    <t>№388-2015г.</t>
  </si>
  <si>
    <t>Напиток из плодов шиповника</t>
  </si>
  <si>
    <t>59/3</t>
  </si>
  <si>
    <t>№2-2015г.</t>
  </si>
  <si>
    <t>Бутерброд с маслом сливочным</t>
  </si>
  <si>
    <t>4/18,5</t>
  </si>
  <si>
    <t>Печенье "Курабье"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</si>
</sst>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2" fontId="1" fillId="0" borderId="14" xfId="0" applyNumberFormat="1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2" fontId="1" fillId="0" borderId="16" xfId="0" applyNumberFormat="1" applyFont="1" applyBorder="1" applyAlignment="1">
      <alignment vertical="center" wrapText="1"/>
    </xf>
    <xf numFmtId="2" fontId="1" fillId="0" borderId="17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2" fontId="5" fillId="0" borderId="5" xfId="0" applyNumberFormat="1" applyFont="1" applyBorder="1" applyAlignment="1">
      <alignment horizontal="right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3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2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2" fontId="1" fillId="0" borderId="17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4" workbookViewId="0">
      <selection activeCell="B16" sqref="B16:J21"/>
    </sheetView>
  </sheetViews>
  <sheetFormatPr defaultRowHeight="15" x14ac:dyDescent="0.25"/>
  <cols>
    <col min="1" max="1" width="17" style="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49" t="s">
        <v>22</v>
      </c>
      <c r="C1" s="50"/>
      <c r="D1" s="1" t="s">
        <v>1</v>
      </c>
      <c r="E1" s="35"/>
      <c r="F1" s="1" t="s">
        <v>2</v>
      </c>
      <c r="G1" s="51">
        <v>44586</v>
      </c>
      <c r="H1" s="52"/>
      <c r="I1" s="52"/>
      <c r="J1" s="53"/>
      <c r="K1" s="1"/>
      <c r="L1" s="1"/>
    </row>
    <row r="2" spans="1:12" ht="15.75" thickBot="1" x14ac:dyDescent="0.3">
      <c r="A2" s="42" t="s">
        <v>3</v>
      </c>
      <c r="B2" s="5" t="s">
        <v>4</v>
      </c>
      <c r="C2" s="44" t="s">
        <v>5</v>
      </c>
      <c r="D2" s="46" t="s">
        <v>6</v>
      </c>
      <c r="E2" s="46" t="s">
        <v>7</v>
      </c>
      <c r="F2" s="46" t="s">
        <v>8</v>
      </c>
      <c r="G2" s="5" t="s">
        <v>9</v>
      </c>
      <c r="H2" s="5" t="s">
        <v>10</v>
      </c>
      <c r="I2" s="5" t="s">
        <v>11</v>
      </c>
      <c r="J2" s="43" t="s">
        <v>12</v>
      </c>
    </row>
    <row r="3" spans="1:12" s="41" customFormat="1" x14ac:dyDescent="0.25">
      <c r="A3" s="66" t="s">
        <v>27</v>
      </c>
      <c r="B3" s="47" t="s">
        <v>52</v>
      </c>
      <c r="C3" s="48" t="s">
        <v>53</v>
      </c>
      <c r="D3" s="48" t="s">
        <v>54</v>
      </c>
      <c r="E3" s="16">
        <v>10</v>
      </c>
      <c r="F3" s="17">
        <v>2.87</v>
      </c>
      <c r="G3" s="17">
        <f>6/50*10</f>
        <v>1.2</v>
      </c>
      <c r="H3" s="17">
        <f>0.35/50*10</f>
        <v>6.9999999999999993E-2</v>
      </c>
      <c r="I3" s="17">
        <f>0.05/50*10</f>
        <v>0.01</v>
      </c>
      <c r="J3" s="18">
        <f>0.95/50*10</f>
        <v>0.19</v>
      </c>
    </row>
    <row r="4" spans="1:12" ht="15" customHeight="1" x14ac:dyDescent="0.25">
      <c r="A4" s="67"/>
      <c r="B4" s="9" t="s">
        <v>13</v>
      </c>
      <c r="C4" s="6" t="s">
        <v>55</v>
      </c>
      <c r="D4" s="6" t="s">
        <v>56</v>
      </c>
      <c r="E4" s="19">
        <v>70</v>
      </c>
      <c r="F4" s="8">
        <v>42.78</v>
      </c>
      <c r="G4" s="8">
        <f>140/50*70</f>
        <v>196</v>
      </c>
      <c r="H4" s="8">
        <f>7.83/50*70</f>
        <v>10.962</v>
      </c>
      <c r="I4" s="8">
        <f>8.95/50*70</f>
        <v>12.53</v>
      </c>
      <c r="J4" s="10">
        <f>6.6/50*70</f>
        <v>9.24</v>
      </c>
    </row>
    <row r="5" spans="1:12" x14ac:dyDescent="0.25">
      <c r="A5" s="67"/>
      <c r="B5" s="9" t="s">
        <v>17</v>
      </c>
      <c r="C5" s="6" t="s">
        <v>57</v>
      </c>
      <c r="D5" s="6" t="s">
        <v>58</v>
      </c>
      <c r="E5" s="19">
        <v>150</v>
      </c>
      <c r="F5" s="8">
        <v>17.41</v>
      </c>
      <c r="G5" s="8">
        <f>915*0.15</f>
        <v>137.25</v>
      </c>
      <c r="H5" s="8">
        <f>20.43*0.15</f>
        <v>3.0644999999999998</v>
      </c>
      <c r="I5" s="8">
        <f>32.01*0.15</f>
        <v>4.8014999999999999</v>
      </c>
      <c r="J5" s="10">
        <f>136.26*0.15</f>
        <v>20.438999999999997</v>
      </c>
    </row>
    <row r="6" spans="1:12" s="41" customFormat="1" x14ac:dyDescent="0.25">
      <c r="A6" s="67"/>
      <c r="B6" s="9" t="s">
        <v>18</v>
      </c>
      <c r="C6" s="6" t="s">
        <v>62</v>
      </c>
      <c r="D6" s="6" t="s">
        <v>63</v>
      </c>
      <c r="E6" s="19">
        <v>200</v>
      </c>
      <c r="F6" s="8">
        <v>7.42</v>
      </c>
      <c r="G6" s="8">
        <v>100.6</v>
      </c>
      <c r="H6" s="8">
        <v>3.17</v>
      </c>
      <c r="I6" s="8">
        <v>2.68</v>
      </c>
      <c r="J6" s="10">
        <v>15.95</v>
      </c>
      <c r="K6"/>
    </row>
    <row r="7" spans="1:12" s="39" customFormat="1" x14ac:dyDescent="0.25">
      <c r="A7" s="67"/>
      <c r="B7" s="9" t="s">
        <v>21</v>
      </c>
      <c r="C7" s="6" t="s">
        <v>64</v>
      </c>
      <c r="D7" s="6" t="s">
        <v>65</v>
      </c>
      <c r="E7" s="19">
        <v>50</v>
      </c>
      <c r="F7" s="8">
        <v>3.61</v>
      </c>
      <c r="G7" s="8">
        <v>160.5</v>
      </c>
      <c r="H7" s="7">
        <v>3.39</v>
      </c>
      <c r="I7" s="7">
        <v>6.98</v>
      </c>
      <c r="J7" s="11">
        <v>21.07</v>
      </c>
      <c r="K7"/>
    </row>
    <row r="8" spans="1:12" ht="15.75" thickBot="1" x14ac:dyDescent="0.3">
      <c r="A8" s="68"/>
      <c r="B8" s="12" t="s">
        <v>14</v>
      </c>
      <c r="C8" s="13" t="s">
        <v>31</v>
      </c>
      <c r="D8" s="13" t="s">
        <v>32</v>
      </c>
      <c r="E8" s="20">
        <v>16</v>
      </c>
      <c r="F8" s="21">
        <v>0.64</v>
      </c>
      <c r="G8" s="21">
        <f>229.7*0.16</f>
        <v>36.752000000000002</v>
      </c>
      <c r="H8" s="14">
        <f>6.7*0.16</f>
        <v>1.0720000000000001</v>
      </c>
      <c r="I8" s="14">
        <f>1.1*0.16</f>
        <v>0.17600000000000002</v>
      </c>
      <c r="J8" s="15">
        <f>48.3*0.16</f>
        <v>7.7279999999999998</v>
      </c>
    </row>
    <row r="9" spans="1:12" ht="16.5" thickBot="1" x14ac:dyDescent="0.3">
      <c r="A9" s="57" t="s">
        <v>15</v>
      </c>
      <c r="B9" s="58"/>
      <c r="C9" s="58"/>
      <c r="D9" s="58"/>
      <c r="E9" s="59"/>
      <c r="F9" s="22">
        <f>SUM(F3:F8)</f>
        <v>74.73</v>
      </c>
      <c r="G9" s="22">
        <f t="shared" ref="G9:J9" si="0">SUM(G3:G8)</f>
        <v>632.30199999999991</v>
      </c>
      <c r="H9" s="22">
        <f t="shared" si="0"/>
        <v>21.7285</v>
      </c>
      <c r="I9" s="22">
        <f t="shared" si="0"/>
        <v>27.177499999999998</v>
      </c>
      <c r="J9" s="22">
        <f t="shared" si="0"/>
        <v>74.61699999999999</v>
      </c>
    </row>
    <row r="10" spans="1:12" ht="30" x14ac:dyDescent="0.25">
      <c r="A10" s="60" t="s">
        <v>28</v>
      </c>
      <c r="B10" s="23" t="s">
        <v>16</v>
      </c>
      <c r="C10" s="24" t="s">
        <v>40</v>
      </c>
      <c r="D10" s="24" t="s">
        <v>41</v>
      </c>
      <c r="E10" s="16" t="s">
        <v>34</v>
      </c>
      <c r="F10" s="17">
        <v>15.42</v>
      </c>
      <c r="G10" s="17">
        <f>415*0.25+162*0.1</f>
        <v>119.95</v>
      </c>
      <c r="H10" s="17">
        <f>7.21*0.25+2.6*0.1</f>
        <v>2.0625</v>
      </c>
      <c r="I10" s="17">
        <f>19.68*0.25+15*0.1</f>
        <v>6.42</v>
      </c>
      <c r="J10" s="18">
        <f>43.73*0.25+3.6*0.1</f>
        <v>11.292499999999999</v>
      </c>
      <c r="K10"/>
    </row>
    <row r="11" spans="1:12" x14ac:dyDescent="0.25">
      <c r="A11" s="61"/>
      <c r="B11" s="9" t="s">
        <v>13</v>
      </c>
      <c r="C11" s="6" t="s">
        <v>42</v>
      </c>
      <c r="D11" s="6" t="s">
        <v>66</v>
      </c>
      <c r="E11" s="19" t="s">
        <v>67</v>
      </c>
      <c r="F11" s="8">
        <v>14.16</v>
      </c>
      <c r="G11" s="31">
        <f>151.2*0.34</f>
        <v>51.408000000000001</v>
      </c>
      <c r="H11" s="31">
        <f>15.6*0.34</f>
        <v>5.3040000000000003</v>
      </c>
      <c r="I11" s="31">
        <f>8.4*0.34</f>
        <v>2.8560000000000003</v>
      </c>
      <c r="J11" s="32">
        <f>3.3*0.34</f>
        <v>1.1220000000000001</v>
      </c>
      <c r="K11"/>
    </row>
    <row r="12" spans="1:12" x14ac:dyDescent="0.25">
      <c r="A12" s="61"/>
      <c r="B12" s="9" t="s">
        <v>17</v>
      </c>
      <c r="C12" s="6" t="s">
        <v>43</v>
      </c>
      <c r="D12" s="6" t="s">
        <v>44</v>
      </c>
      <c r="E12" s="19">
        <v>100</v>
      </c>
      <c r="F12" s="8">
        <v>11.33</v>
      </c>
      <c r="G12" s="33">
        <f>1625*0.1</f>
        <v>162.5</v>
      </c>
      <c r="H12" s="33">
        <f>57.32*0.1</f>
        <v>5.7320000000000002</v>
      </c>
      <c r="I12" s="33">
        <f>40.62*0.1</f>
        <v>4.0620000000000003</v>
      </c>
      <c r="J12" s="34">
        <f>257.61*0.1</f>
        <v>25.761000000000003</v>
      </c>
      <c r="K12"/>
    </row>
    <row r="13" spans="1:12" x14ac:dyDescent="0.25">
      <c r="A13" s="61"/>
      <c r="B13" s="9" t="s">
        <v>18</v>
      </c>
      <c r="C13" s="6" t="s">
        <v>19</v>
      </c>
      <c r="D13" s="6" t="s">
        <v>20</v>
      </c>
      <c r="E13" s="19" t="s">
        <v>33</v>
      </c>
      <c r="F13" s="8">
        <v>2.92</v>
      </c>
      <c r="G13" s="8">
        <v>60</v>
      </c>
      <c r="H13" s="8">
        <v>7.0000000000000007E-2</v>
      </c>
      <c r="I13" s="8">
        <v>0.02</v>
      </c>
      <c r="J13" s="10">
        <v>15</v>
      </c>
      <c r="K13"/>
    </row>
    <row r="14" spans="1:12" ht="15.75" thickBot="1" x14ac:dyDescent="0.3">
      <c r="A14" s="61"/>
      <c r="B14" s="12" t="s">
        <v>14</v>
      </c>
      <c r="C14" s="13" t="s">
        <v>31</v>
      </c>
      <c r="D14" s="13" t="s">
        <v>32</v>
      </c>
      <c r="E14" s="20">
        <v>17</v>
      </c>
      <c r="F14" s="21">
        <v>0.7</v>
      </c>
      <c r="G14" s="21">
        <f>229.7*0.17</f>
        <v>39.048999999999999</v>
      </c>
      <c r="H14" s="14">
        <f>6.7*0.17</f>
        <v>1.139</v>
      </c>
      <c r="I14" s="14">
        <f>1.1*0.17</f>
        <v>0.18700000000000003</v>
      </c>
      <c r="J14" s="15">
        <f>48.3*0.17</f>
        <v>8.2110000000000003</v>
      </c>
    </row>
    <row r="15" spans="1:12" ht="16.5" thickBot="1" x14ac:dyDescent="0.3">
      <c r="A15" s="62" t="s">
        <v>15</v>
      </c>
      <c r="B15" s="63"/>
      <c r="C15" s="63"/>
      <c r="D15" s="63"/>
      <c r="E15" s="64"/>
      <c r="F15" s="25">
        <f>SUM(F10:F14)</f>
        <v>44.53</v>
      </c>
      <c r="G15" s="25">
        <f t="shared" ref="G15:J15" si="1">SUM(G10:G14)</f>
        <v>432.90699999999998</v>
      </c>
      <c r="H15" s="25">
        <f>SUM(H10:H14)</f>
        <v>14.307500000000001</v>
      </c>
      <c r="I15" s="25">
        <f t="shared" si="1"/>
        <v>13.545</v>
      </c>
      <c r="J15" s="25">
        <f t="shared" si="1"/>
        <v>61.386499999999998</v>
      </c>
    </row>
    <row r="16" spans="1:12" ht="30" x14ac:dyDescent="0.25">
      <c r="A16" s="61" t="s">
        <v>29</v>
      </c>
      <c r="B16" s="23" t="s">
        <v>16</v>
      </c>
      <c r="C16" s="24" t="s">
        <v>40</v>
      </c>
      <c r="D16" s="24" t="s">
        <v>41</v>
      </c>
      <c r="E16" s="16" t="s">
        <v>34</v>
      </c>
      <c r="F16" s="17">
        <v>15.42</v>
      </c>
      <c r="G16" s="17">
        <f>415*0.25+162*0.1</f>
        <v>119.95</v>
      </c>
      <c r="H16" s="17">
        <f>7.21*0.25+2.6*0.1</f>
        <v>2.0625</v>
      </c>
      <c r="I16" s="17">
        <f>19.68*0.25+15*0.1</f>
        <v>6.42</v>
      </c>
      <c r="J16" s="18">
        <f>43.73*0.25+3.6*0.1</f>
        <v>11.292499999999999</v>
      </c>
    </row>
    <row r="17" spans="1:11" x14ac:dyDescent="0.25">
      <c r="A17" s="61"/>
      <c r="B17" s="9" t="s">
        <v>13</v>
      </c>
      <c r="C17" s="6" t="s">
        <v>42</v>
      </c>
      <c r="D17" s="6" t="s">
        <v>66</v>
      </c>
      <c r="E17" s="19" t="s">
        <v>68</v>
      </c>
      <c r="F17" s="8">
        <v>33.33</v>
      </c>
      <c r="G17" s="31">
        <f>151.2*0.8</f>
        <v>120.96</v>
      </c>
      <c r="H17" s="31">
        <f>15.6*0.8</f>
        <v>12.48</v>
      </c>
      <c r="I17" s="31">
        <f>8.4*0.8</f>
        <v>6.7200000000000006</v>
      </c>
      <c r="J17" s="32">
        <f>3.3*0.8</f>
        <v>2.64</v>
      </c>
      <c r="K17"/>
    </row>
    <row r="18" spans="1:11" s="39" customFormat="1" x14ac:dyDescent="0.25">
      <c r="A18" s="61"/>
      <c r="B18" s="9" t="s">
        <v>17</v>
      </c>
      <c r="C18" s="6" t="s">
        <v>43</v>
      </c>
      <c r="D18" s="6" t="s">
        <v>44</v>
      </c>
      <c r="E18" s="19">
        <v>100</v>
      </c>
      <c r="F18" s="8">
        <v>11.33</v>
      </c>
      <c r="G18" s="33">
        <f>1625*0.1</f>
        <v>162.5</v>
      </c>
      <c r="H18" s="33">
        <f>57.32*0.1</f>
        <v>5.7320000000000002</v>
      </c>
      <c r="I18" s="33">
        <f>40.62*0.1</f>
        <v>4.0620000000000003</v>
      </c>
      <c r="J18" s="34">
        <f>257.61*0.1</f>
        <v>25.761000000000003</v>
      </c>
      <c r="K18"/>
    </row>
    <row r="19" spans="1:11" s="41" customFormat="1" x14ac:dyDescent="0.25">
      <c r="A19" s="61"/>
      <c r="B19" s="9" t="s">
        <v>46</v>
      </c>
      <c r="C19" s="6" t="s">
        <v>69</v>
      </c>
      <c r="D19" s="6" t="s">
        <v>70</v>
      </c>
      <c r="E19" s="19">
        <v>200</v>
      </c>
      <c r="F19" s="8">
        <v>9.84</v>
      </c>
      <c r="G19" s="8">
        <f>441*0.2</f>
        <v>88.2</v>
      </c>
      <c r="H19" s="31">
        <f>3.39*0.2</f>
        <v>0.67800000000000005</v>
      </c>
      <c r="I19" s="31">
        <f>1.39*0.2</f>
        <v>0.27799999999999997</v>
      </c>
      <c r="J19" s="32">
        <f>103.8*0.2</f>
        <v>20.76</v>
      </c>
    </row>
    <row r="20" spans="1:11" s="45" customFormat="1" x14ac:dyDescent="0.25">
      <c r="A20" s="61"/>
      <c r="B20" s="9" t="s">
        <v>21</v>
      </c>
      <c r="C20" s="6" t="s">
        <v>50</v>
      </c>
      <c r="D20" s="6" t="s">
        <v>51</v>
      </c>
      <c r="E20" s="19">
        <v>50</v>
      </c>
      <c r="F20" s="8">
        <v>4.22</v>
      </c>
      <c r="G20" s="8">
        <f>318*0.5</f>
        <v>159</v>
      </c>
      <c r="H20" s="7">
        <f>7.28*0.5</f>
        <v>3.64</v>
      </c>
      <c r="I20" s="7">
        <f>12.52*0.5</f>
        <v>6.26</v>
      </c>
      <c r="J20" s="11">
        <f>43.92*0.5</f>
        <v>21.96</v>
      </c>
      <c r="K20"/>
    </row>
    <row r="21" spans="1:11" s="40" customFormat="1" ht="15.75" thickBot="1" x14ac:dyDescent="0.3">
      <c r="A21" s="65"/>
      <c r="B21" s="12" t="s">
        <v>14</v>
      </c>
      <c r="C21" s="13" t="s">
        <v>31</v>
      </c>
      <c r="D21" s="13" t="s">
        <v>32</v>
      </c>
      <c r="E21" s="20">
        <v>14.5</v>
      </c>
      <c r="F21" s="21">
        <v>0.59</v>
      </c>
      <c r="G21" s="21">
        <f>229.7*0.145</f>
        <v>33.306499999999993</v>
      </c>
      <c r="H21" s="14">
        <f>6.7*0.145</f>
        <v>0.97149999999999992</v>
      </c>
      <c r="I21" s="14">
        <f>1.1*0.145</f>
        <v>0.1595</v>
      </c>
      <c r="J21" s="15">
        <f>48.3*0.145</f>
        <v>7.0034999999999989</v>
      </c>
    </row>
    <row r="22" spans="1:11" ht="16.5" thickBot="1" x14ac:dyDescent="0.3">
      <c r="A22" s="57" t="s">
        <v>15</v>
      </c>
      <c r="B22" s="58"/>
      <c r="C22" s="58"/>
      <c r="D22" s="58"/>
      <c r="E22" s="59"/>
      <c r="F22" s="22">
        <f>SUM(F16:F21)</f>
        <v>74.73</v>
      </c>
      <c r="G22" s="22">
        <f>SUM(G16:G21)</f>
        <v>683.91649999999993</v>
      </c>
      <c r="H22" s="22">
        <f>SUM(H16:H21)</f>
        <v>25.564</v>
      </c>
      <c r="I22" s="22">
        <f>SUM(I16:I21)</f>
        <v>23.899500000000003</v>
      </c>
      <c r="J22" s="22">
        <f>SUM(J16:J21)</f>
        <v>89.417000000000002</v>
      </c>
      <c r="K22"/>
    </row>
    <row r="23" spans="1:11" x14ac:dyDescent="0.25">
      <c r="A23" s="60" t="s">
        <v>30</v>
      </c>
      <c r="B23" s="23" t="s">
        <v>46</v>
      </c>
      <c r="C23" s="24" t="s">
        <v>47</v>
      </c>
      <c r="D23" s="24" t="s">
        <v>59</v>
      </c>
      <c r="E23" s="26" t="s">
        <v>48</v>
      </c>
      <c r="F23" s="27">
        <v>34.299999999999997</v>
      </c>
      <c r="G23" s="29">
        <v>160</v>
      </c>
      <c r="H23" s="29">
        <v>5</v>
      </c>
      <c r="I23" s="29">
        <v>6.2</v>
      </c>
      <c r="J23" s="30">
        <v>22</v>
      </c>
      <c r="K23"/>
    </row>
    <row r="24" spans="1:11" s="40" customFormat="1" ht="15.75" thickBot="1" x14ac:dyDescent="0.3">
      <c r="A24" s="61"/>
      <c r="B24" s="12" t="s">
        <v>21</v>
      </c>
      <c r="C24" s="13" t="s">
        <v>60</v>
      </c>
      <c r="D24" s="13" t="s">
        <v>61</v>
      </c>
      <c r="E24" s="20" t="s">
        <v>71</v>
      </c>
      <c r="F24" s="21">
        <v>10.23</v>
      </c>
      <c r="G24" s="21">
        <f>207.5*0.62</f>
        <v>128.65</v>
      </c>
      <c r="H24" s="14">
        <f>4.3*0.62</f>
        <v>2.6659999999999999</v>
      </c>
      <c r="I24" s="14">
        <f>2.8*0.62</f>
        <v>1.736</v>
      </c>
      <c r="J24" s="15">
        <f>41.4*0.62</f>
        <v>25.667999999999999</v>
      </c>
      <c r="K24"/>
    </row>
    <row r="25" spans="1:11" ht="16.5" thickBot="1" x14ac:dyDescent="0.3">
      <c r="A25" s="57" t="s">
        <v>15</v>
      </c>
      <c r="B25" s="70"/>
      <c r="C25" s="70"/>
      <c r="D25" s="70"/>
      <c r="E25" s="71"/>
      <c r="F25" s="3">
        <f>SUM(F23:F24)</f>
        <v>44.53</v>
      </c>
      <c r="G25" s="3">
        <f>SUM(G23:G24)</f>
        <v>288.64999999999998</v>
      </c>
      <c r="H25" s="3">
        <f>SUM(H23:H24)</f>
        <v>7.6660000000000004</v>
      </c>
      <c r="I25" s="3">
        <f>SUM(I23:I24)</f>
        <v>7.9359999999999999</v>
      </c>
      <c r="J25" s="3">
        <f>SUM(J23:J24)</f>
        <v>47.667999999999999</v>
      </c>
      <c r="K25"/>
    </row>
    <row r="27" spans="1:11" ht="15.75" thickBot="1" x14ac:dyDescent="0.3">
      <c r="A27" s="55" t="s">
        <v>25</v>
      </c>
      <c r="B27" s="55"/>
      <c r="C27" s="55"/>
      <c r="D27" s="55"/>
      <c r="E27" s="55"/>
      <c r="F27" s="55"/>
      <c r="G27" s="55"/>
      <c r="H27" s="55"/>
      <c r="I27" s="55"/>
      <c r="J27" s="55"/>
    </row>
    <row r="28" spans="1:11" ht="15.75" x14ac:dyDescent="0.25">
      <c r="A28" s="28"/>
      <c r="B28" s="28"/>
      <c r="C28" s="54" t="s">
        <v>23</v>
      </c>
      <c r="D28" s="54"/>
      <c r="G28" s="56"/>
      <c r="H28" s="56"/>
      <c r="I28" s="56"/>
      <c r="J28" s="56"/>
    </row>
    <row r="29" spans="1:11" x14ac:dyDescent="0.25">
      <c r="A29" s="1"/>
      <c r="B29" s="1"/>
      <c r="C29" s="1"/>
      <c r="D29" s="1"/>
    </row>
    <row r="30" spans="1:11" x14ac:dyDescent="0.25">
      <c r="A30" s="69" t="s">
        <v>24</v>
      </c>
      <c r="B30" s="69"/>
    </row>
    <row r="31" spans="1:11" x14ac:dyDescent="0.25">
      <c r="A31" s="69" t="s">
        <v>26</v>
      </c>
      <c r="B31" s="69"/>
    </row>
    <row r="32" spans="1:11" x14ac:dyDescent="0.25">
      <c r="A32" s="4"/>
    </row>
  </sheetData>
  <mergeCells count="15">
    <mergeCell ref="A30:B30"/>
    <mergeCell ref="A31:B31"/>
    <mergeCell ref="A23:A24"/>
    <mergeCell ref="A25:E25"/>
    <mergeCell ref="B1:C1"/>
    <mergeCell ref="G1:J1"/>
    <mergeCell ref="C28:D28"/>
    <mergeCell ref="A27:J27"/>
    <mergeCell ref="G28:J28"/>
    <mergeCell ref="A9:E9"/>
    <mergeCell ref="A10:A14"/>
    <mergeCell ref="A15:E15"/>
    <mergeCell ref="A16:A21"/>
    <mergeCell ref="A22:E22"/>
    <mergeCell ref="A3:A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10" workbookViewId="0">
      <selection activeCell="G24" sqref="G24"/>
    </sheetView>
  </sheetViews>
  <sheetFormatPr defaultRowHeight="15" x14ac:dyDescent="0.25"/>
  <cols>
    <col min="1" max="1" width="25.7109375" style="2" customWidth="1"/>
    <col min="2" max="2" width="25" style="2" customWidth="1"/>
    <col min="3" max="3" width="12.28515625" style="2" customWidth="1"/>
    <col min="4" max="4" width="44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72" t="s">
        <v>22</v>
      </c>
      <c r="C1" s="73"/>
      <c r="D1" s="1" t="s">
        <v>1</v>
      </c>
      <c r="E1" s="35"/>
      <c r="F1" s="1" t="s">
        <v>2</v>
      </c>
      <c r="G1" s="74">
        <v>44586</v>
      </c>
      <c r="H1" s="75"/>
      <c r="I1" s="75"/>
      <c r="J1" s="75"/>
      <c r="K1" s="1"/>
      <c r="L1" s="1"/>
    </row>
    <row r="2" spans="1:12" ht="15.75" thickBot="1" x14ac:dyDescent="0.3">
      <c r="A2" s="42" t="s">
        <v>3</v>
      </c>
      <c r="B2" s="36" t="s">
        <v>4</v>
      </c>
      <c r="C2" s="37" t="s">
        <v>5</v>
      </c>
      <c r="D2" s="37" t="s">
        <v>6</v>
      </c>
      <c r="E2" s="37" t="s">
        <v>7</v>
      </c>
      <c r="F2" s="37" t="s">
        <v>8</v>
      </c>
      <c r="G2" s="37" t="s">
        <v>9</v>
      </c>
      <c r="H2" s="37" t="s">
        <v>10</v>
      </c>
      <c r="I2" s="37" t="s">
        <v>11</v>
      </c>
      <c r="J2" s="38" t="s">
        <v>12</v>
      </c>
    </row>
    <row r="3" spans="1:12" s="41" customFormat="1" x14ac:dyDescent="0.25">
      <c r="A3" s="76" t="s">
        <v>35</v>
      </c>
      <c r="B3" s="9" t="s">
        <v>13</v>
      </c>
      <c r="C3" s="6" t="s">
        <v>55</v>
      </c>
      <c r="D3" s="6" t="s">
        <v>56</v>
      </c>
      <c r="E3" s="19">
        <v>70</v>
      </c>
      <c r="F3" s="8">
        <v>42.78</v>
      </c>
      <c r="G3" s="8">
        <f>140/50*70</f>
        <v>196</v>
      </c>
      <c r="H3" s="8">
        <f>7.83/50*70</f>
        <v>10.962</v>
      </c>
      <c r="I3" s="8">
        <f>8.95/50*70</f>
        <v>12.53</v>
      </c>
      <c r="J3" s="10">
        <f>6.6/50*70</f>
        <v>9.24</v>
      </c>
    </row>
    <row r="4" spans="1:12" ht="15" customHeight="1" x14ac:dyDescent="0.25">
      <c r="A4" s="77"/>
      <c r="B4" s="9" t="s">
        <v>17</v>
      </c>
      <c r="C4" s="6" t="s">
        <v>57</v>
      </c>
      <c r="D4" s="6" t="s">
        <v>58</v>
      </c>
      <c r="E4" s="19">
        <v>130</v>
      </c>
      <c r="F4" s="8">
        <v>15.09</v>
      </c>
      <c r="G4" s="8">
        <f>915*0.13</f>
        <v>118.95</v>
      </c>
      <c r="H4" s="8">
        <f>20.43*0.13</f>
        <v>2.6558999999999999</v>
      </c>
      <c r="I4" s="8">
        <f>32.01*0.13</f>
        <v>4.1612999999999998</v>
      </c>
      <c r="J4" s="10">
        <f>136.26*0.13</f>
        <v>17.713799999999999</v>
      </c>
    </row>
    <row r="5" spans="1:12" s="39" customFormat="1" x14ac:dyDescent="0.25">
      <c r="A5" s="77"/>
      <c r="B5" s="9" t="s">
        <v>18</v>
      </c>
      <c r="C5" s="6" t="s">
        <v>62</v>
      </c>
      <c r="D5" s="6" t="s">
        <v>63</v>
      </c>
      <c r="E5" s="19">
        <v>200</v>
      </c>
      <c r="F5" s="8">
        <v>7.42</v>
      </c>
      <c r="G5" s="8">
        <v>100.6</v>
      </c>
      <c r="H5" s="8">
        <v>3.17</v>
      </c>
      <c r="I5" s="8">
        <v>2.68</v>
      </c>
      <c r="J5" s="10">
        <v>15.95</v>
      </c>
    </row>
    <row r="6" spans="1:12" x14ac:dyDescent="0.25">
      <c r="A6" s="77"/>
      <c r="B6" s="9" t="s">
        <v>21</v>
      </c>
      <c r="C6" s="6" t="s">
        <v>64</v>
      </c>
      <c r="D6" s="6" t="s">
        <v>65</v>
      </c>
      <c r="E6" s="19">
        <v>50</v>
      </c>
      <c r="F6" s="8">
        <v>3.61</v>
      </c>
      <c r="G6" s="8">
        <v>160.5</v>
      </c>
      <c r="H6" s="7">
        <v>3.39</v>
      </c>
      <c r="I6" s="7">
        <v>6.98</v>
      </c>
      <c r="J6" s="11">
        <v>21.07</v>
      </c>
    </row>
    <row r="7" spans="1:12" ht="15.75" thickBot="1" x14ac:dyDescent="0.3">
      <c r="A7" s="77"/>
      <c r="B7" s="12" t="s">
        <v>14</v>
      </c>
      <c r="C7" s="13" t="s">
        <v>31</v>
      </c>
      <c r="D7" s="13" t="s">
        <v>32</v>
      </c>
      <c r="E7" s="20">
        <v>14.5</v>
      </c>
      <c r="F7" s="21">
        <v>0.6</v>
      </c>
      <c r="G7" s="21">
        <f>229.7*0.145</f>
        <v>33.306499999999993</v>
      </c>
      <c r="H7" s="14">
        <f>6.7*0.145</f>
        <v>0.97149999999999992</v>
      </c>
      <c r="I7" s="14">
        <f>1.1*0.145</f>
        <v>0.1595</v>
      </c>
      <c r="J7" s="15">
        <f>48.3*0.145</f>
        <v>7.0034999999999989</v>
      </c>
    </row>
    <row r="8" spans="1:12" ht="16.5" thickBot="1" x14ac:dyDescent="0.3">
      <c r="A8" s="57" t="s">
        <v>15</v>
      </c>
      <c r="B8" s="58"/>
      <c r="C8" s="58"/>
      <c r="D8" s="58"/>
      <c r="E8" s="59"/>
      <c r="F8" s="22">
        <f>SUM(F3:F7)</f>
        <v>69.5</v>
      </c>
      <c r="G8" s="22">
        <f>SUM(G3:G7)</f>
        <v>609.35649999999998</v>
      </c>
      <c r="H8" s="22">
        <f>SUM(H3:H7)</f>
        <v>21.1494</v>
      </c>
      <c r="I8" s="22">
        <f>SUM(I3:I7)</f>
        <v>26.5108</v>
      </c>
      <c r="J8" s="22">
        <f>SUM(J3:J7)</f>
        <v>70.9773</v>
      </c>
    </row>
    <row r="9" spans="1:12" s="41" customFormat="1" x14ac:dyDescent="0.25">
      <c r="A9" s="78" t="s">
        <v>36</v>
      </c>
      <c r="B9" s="47" t="s">
        <v>52</v>
      </c>
      <c r="C9" s="48" t="s">
        <v>53</v>
      </c>
      <c r="D9" s="48" t="s">
        <v>54</v>
      </c>
      <c r="E9" s="16">
        <v>20</v>
      </c>
      <c r="F9" s="17">
        <v>5.86</v>
      </c>
      <c r="G9" s="17">
        <f>6/50*20</f>
        <v>2.4</v>
      </c>
      <c r="H9" s="17">
        <f>0.35/50*20</f>
        <v>0.13999999999999999</v>
      </c>
      <c r="I9" s="17">
        <f>0.05/50*20</f>
        <v>0.02</v>
      </c>
      <c r="J9" s="18">
        <f>0.95/50*20</f>
        <v>0.38</v>
      </c>
    </row>
    <row r="10" spans="1:12" s="41" customFormat="1" x14ac:dyDescent="0.25">
      <c r="A10" s="67"/>
      <c r="B10" s="9" t="s">
        <v>17</v>
      </c>
      <c r="C10" s="6" t="s">
        <v>57</v>
      </c>
      <c r="D10" s="6" t="s">
        <v>58</v>
      </c>
      <c r="E10" s="19">
        <v>150</v>
      </c>
      <c r="F10" s="8">
        <v>17.41</v>
      </c>
      <c r="G10" s="8">
        <f>915*0.15</f>
        <v>137.25</v>
      </c>
      <c r="H10" s="8">
        <f>20.43*0.15</f>
        <v>3.0644999999999998</v>
      </c>
      <c r="I10" s="8">
        <f>32.01*0.15</f>
        <v>4.8014999999999999</v>
      </c>
      <c r="J10" s="10">
        <f>136.26*0.15</f>
        <v>20.438999999999997</v>
      </c>
    </row>
    <row r="11" spans="1:12" s="41" customFormat="1" x14ac:dyDescent="0.25">
      <c r="A11" s="67"/>
      <c r="B11" s="9" t="s">
        <v>18</v>
      </c>
      <c r="C11" s="6" t="s">
        <v>19</v>
      </c>
      <c r="D11" s="6" t="s">
        <v>20</v>
      </c>
      <c r="E11" s="19" t="s">
        <v>33</v>
      </c>
      <c r="F11" s="8">
        <v>2.92</v>
      </c>
      <c r="G11" s="8">
        <v>60</v>
      </c>
      <c r="H11" s="8">
        <v>7.0000000000000007E-2</v>
      </c>
      <c r="I11" s="8">
        <v>0.02</v>
      </c>
      <c r="J11" s="10">
        <v>15</v>
      </c>
    </row>
    <row r="12" spans="1:12" ht="15.75" thickBot="1" x14ac:dyDescent="0.3">
      <c r="A12" s="68"/>
      <c r="B12" s="12" t="s">
        <v>14</v>
      </c>
      <c r="C12" s="13" t="s">
        <v>31</v>
      </c>
      <c r="D12" s="13" t="s">
        <v>32</v>
      </c>
      <c r="E12" s="20">
        <v>20</v>
      </c>
      <c r="F12" s="21">
        <v>0.81</v>
      </c>
      <c r="G12" s="21">
        <f>229.7*0.2</f>
        <v>45.94</v>
      </c>
      <c r="H12" s="14">
        <f>6.7*0.2</f>
        <v>1.34</v>
      </c>
      <c r="I12" s="14">
        <f>1.1*0.2</f>
        <v>0.22000000000000003</v>
      </c>
      <c r="J12" s="15">
        <f>48.3*0.2</f>
        <v>9.66</v>
      </c>
    </row>
    <row r="13" spans="1:12" ht="16.5" thickBot="1" x14ac:dyDescent="0.3">
      <c r="A13" s="57" t="s">
        <v>15</v>
      </c>
      <c r="B13" s="58"/>
      <c r="C13" s="58"/>
      <c r="D13" s="58"/>
      <c r="E13" s="59"/>
      <c r="F13" s="22">
        <f>SUM(F9:F12)</f>
        <v>26.999999999999996</v>
      </c>
      <c r="G13" s="22">
        <f>SUM(G9:G12)</f>
        <v>245.59</v>
      </c>
      <c r="H13" s="22">
        <f>SUM(H9:H12)</f>
        <v>4.6144999999999996</v>
      </c>
      <c r="I13" s="22">
        <f>SUM(I9:I12)</f>
        <v>5.0614999999999988</v>
      </c>
      <c r="J13" s="22">
        <f>SUM(J9:J12)</f>
        <v>45.478999999999999</v>
      </c>
    </row>
    <row r="14" spans="1:12" s="39" customFormat="1" ht="15.75" thickTop="1" x14ac:dyDescent="0.25">
      <c r="A14" s="79" t="s">
        <v>38</v>
      </c>
      <c r="B14" s="47" t="s">
        <v>52</v>
      </c>
      <c r="C14" s="48" t="s">
        <v>72</v>
      </c>
      <c r="D14" s="48" t="s">
        <v>73</v>
      </c>
      <c r="E14" s="26" t="s">
        <v>74</v>
      </c>
      <c r="F14" s="16">
        <v>4.12</v>
      </c>
      <c r="G14" s="17">
        <f>66*0.4+280*0.185</f>
        <v>78.2</v>
      </c>
      <c r="H14" s="17">
        <f>0.08*0.4+8*0.185</f>
        <v>1.512</v>
      </c>
      <c r="I14" s="17">
        <f>7.25*0.4+3*0.185</f>
        <v>3.4550000000000001</v>
      </c>
      <c r="J14" s="18">
        <f>0.13*0.04+54*0.185</f>
        <v>9.9952000000000005</v>
      </c>
    </row>
    <row r="15" spans="1:12" s="39" customFormat="1" ht="15.75" thickBot="1" x14ac:dyDescent="0.3">
      <c r="A15" s="67"/>
      <c r="B15" s="12" t="s">
        <v>18</v>
      </c>
      <c r="C15" s="13" t="s">
        <v>19</v>
      </c>
      <c r="D15" s="13" t="s">
        <v>20</v>
      </c>
      <c r="E15" s="20" t="s">
        <v>33</v>
      </c>
      <c r="F15" s="21">
        <v>2.88</v>
      </c>
      <c r="G15" s="21">
        <v>60</v>
      </c>
      <c r="H15" s="21">
        <v>7.0000000000000007E-2</v>
      </c>
      <c r="I15" s="21">
        <v>0.02</v>
      </c>
      <c r="J15" s="81">
        <v>15</v>
      </c>
      <c r="K15"/>
    </row>
    <row r="16" spans="1:12" ht="16.5" thickBot="1" x14ac:dyDescent="0.3">
      <c r="A16" s="57" t="s">
        <v>15</v>
      </c>
      <c r="B16" s="58"/>
      <c r="C16" s="58"/>
      <c r="D16" s="58"/>
      <c r="E16" s="59"/>
      <c r="F16" s="22">
        <f>SUM(F14:F15)</f>
        <v>7</v>
      </c>
      <c r="G16" s="22">
        <f t="shared" ref="G16:J16" si="0">SUM(G14:G15)</f>
        <v>138.19999999999999</v>
      </c>
      <c r="H16" s="22">
        <f t="shared" si="0"/>
        <v>1.5820000000000001</v>
      </c>
      <c r="I16" s="22">
        <f t="shared" si="0"/>
        <v>3.4750000000000001</v>
      </c>
      <c r="J16" s="22">
        <f t="shared" si="0"/>
        <v>24.995200000000001</v>
      </c>
    </row>
    <row r="17" spans="1:11" ht="30" x14ac:dyDescent="0.25">
      <c r="A17" s="60" t="s">
        <v>37</v>
      </c>
      <c r="B17" s="23" t="s">
        <v>16</v>
      </c>
      <c r="C17" s="24" t="s">
        <v>40</v>
      </c>
      <c r="D17" s="24" t="s">
        <v>41</v>
      </c>
      <c r="E17" s="16" t="s">
        <v>34</v>
      </c>
      <c r="F17" s="17">
        <v>15.42</v>
      </c>
      <c r="G17" s="17">
        <f>415*0.25+162*0.1</f>
        <v>119.95</v>
      </c>
      <c r="H17" s="17">
        <f>7.21*0.25+2.6*0.1</f>
        <v>2.0625</v>
      </c>
      <c r="I17" s="17">
        <f>19.68*0.25+15*0.1</f>
        <v>6.42</v>
      </c>
      <c r="J17" s="18">
        <f>43.73*0.25+3.6*0.1</f>
        <v>11.292499999999999</v>
      </c>
    </row>
    <row r="18" spans="1:11" x14ac:dyDescent="0.25">
      <c r="A18" s="61"/>
      <c r="B18" s="9" t="s">
        <v>13</v>
      </c>
      <c r="C18" s="6" t="s">
        <v>42</v>
      </c>
      <c r="D18" s="6" t="s">
        <v>66</v>
      </c>
      <c r="E18" s="19" t="s">
        <v>67</v>
      </c>
      <c r="F18" s="8">
        <v>14.16</v>
      </c>
      <c r="G18" s="31">
        <f>151.2*0.34</f>
        <v>51.408000000000001</v>
      </c>
      <c r="H18" s="31">
        <f>15.6*0.34</f>
        <v>5.3040000000000003</v>
      </c>
      <c r="I18" s="31">
        <f>8.4*0.34</f>
        <v>2.8560000000000003</v>
      </c>
      <c r="J18" s="32">
        <f>3.3*0.34</f>
        <v>1.1220000000000001</v>
      </c>
    </row>
    <row r="19" spans="1:11" x14ac:dyDescent="0.25">
      <c r="A19" s="61"/>
      <c r="B19" s="9" t="s">
        <v>17</v>
      </c>
      <c r="C19" s="6" t="s">
        <v>43</v>
      </c>
      <c r="D19" s="6" t="s">
        <v>44</v>
      </c>
      <c r="E19" s="19">
        <v>100</v>
      </c>
      <c r="F19" s="8">
        <v>11.33</v>
      </c>
      <c r="G19" s="33">
        <f>1625*0.1</f>
        <v>162.5</v>
      </c>
      <c r="H19" s="33">
        <f>57.32*0.1</f>
        <v>5.7320000000000002</v>
      </c>
      <c r="I19" s="33">
        <f>40.62*0.1</f>
        <v>4.0620000000000003</v>
      </c>
      <c r="J19" s="34">
        <f>257.61*0.1</f>
        <v>25.761000000000003</v>
      </c>
    </row>
    <row r="20" spans="1:11" x14ac:dyDescent="0.25">
      <c r="A20" s="61"/>
      <c r="B20" s="9" t="s">
        <v>18</v>
      </c>
      <c r="C20" s="6" t="s">
        <v>19</v>
      </c>
      <c r="D20" s="6" t="s">
        <v>20</v>
      </c>
      <c r="E20" s="19" t="s">
        <v>33</v>
      </c>
      <c r="F20" s="8">
        <v>2.92</v>
      </c>
      <c r="G20" s="8">
        <v>60</v>
      </c>
      <c r="H20" s="8">
        <v>7.0000000000000007E-2</v>
      </c>
      <c r="I20" s="8">
        <v>0.02</v>
      </c>
      <c r="J20" s="10">
        <v>15</v>
      </c>
    </row>
    <row r="21" spans="1:11" ht="15.75" thickBot="1" x14ac:dyDescent="0.3">
      <c r="A21" s="61"/>
      <c r="B21" s="12" t="s">
        <v>14</v>
      </c>
      <c r="C21" s="13" t="s">
        <v>31</v>
      </c>
      <c r="D21" s="13" t="s">
        <v>32</v>
      </c>
      <c r="E21" s="20">
        <v>28.5</v>
      </c>
      <c r="F21" s="21">
        <v>1.17</v>
      </c>
      <c r="G21" s="21">
        <f>229.7*0.285</f>
        <v>65.464499999999987</v>
      </c>
      <c r="H21" s="14">
        <f>6.7*0.285</f>
        <v>1.9095</v>
      </c>
      <c r="I21" s="14">
        <f>1.1*0.285</f>
        <v>0.3135</v>
      </c>
      <c r="J21" s="15">
        <f>48.3*0.285</f>
        <v>13.765499999999998</v>
      </c>
    </row>
    <row r="22" spans="1:11" ht="16.5" thickBot="1" x14ac:dyDescent="0.3">
      <c r="A22" s="62" t="s">
        <v>15</v>
      </c>
      <c r="B22" s="63"/>
      <c r="C22" s="63"/>
      <c r="D22" s="63"/>
      <c r="E22" s="64"/>
      <c r="F22" s="25">
        <f>SUM(F17:F21)</f>
        <v>45</v>
      </c>
      <c r="G22" s="25">
        <f t="shared" ref="G22:J22" si="1">SUM(G17:G21)</f>
        <v>459.32249999999999</v>
      </c>
      <c r="H22" s="25">
        <f t="shared" si="1"/>
        <v>15.078000000000001</v>
      </c>
      <c r="I22" s="25">
        <f t="shared" si="1"/>
        <v>13.6715</v>
      </c>
      <c r="J22" s="25">
        <f t="shared" si="1"/>
        <v>66.941000000000003</v>
      </c>
    </row>
    <row r="23" spans="1:11" ht="30" x14ac:dyDescent="0.25">
      <c r="A23" s="80" t="s">
        <v>39</v>
      </c>
      <c r="B23" s="23" t="s">
        <v>16</v>
      </c>
      <c r="C23" s="24" t="s">
        <v>40</v>
      </c>
      <c r="D23" s="24" t="s">
        <v>41</v>
      </c>
      <c r="E23" s="16" t="s">
        <v>34</v>
      </c>
      <c r="F23" s="17">
        <v>15.42</v>
      </c>
      <c r="G23" s="17">
        <f>415*0.25+162*0.1</f>
        <v>119.95</v>
      </c>
      <c r="H23" s="17">
        <f>7.21*0.25+2.6*0.1</f>
        <v>2.0625</v>
      </c>
      <c r="I23" s="17">
        <f>19.68*0.25+15*0.1</f>
        <v>6.42</v>
      </c>
      <c r="J23" s="18">
        <f>43.73*0.25+3.6*0.1</f>
        <v>11.292499999999999</v>
      </c>
    </row>
    <row r="24" spans="1:11" s="40" customFormat="1" x14ac:dyDescent="0.25">
      <c r="A24" s="80"/>
      <c r="B24" s="9" t="s">
        <v>13</v>
      </c>
      <c r="C24" s="6" t="s">
        <v>42</v>
      </c>
      <c r="D24" s="6" t="s">
        <v>66</v>
      </c>
      <c r="E24" s="19" t="s">
        <v>45</v>
      </c>
      <c r="F24" s="8">
        <v>29.16</v>
      </c>
      <c r="G24" s="31">
        <f>151.2*0.7</f>
        <v>105.83999999999999</v>
      </c>
      <c r="H24" s="31">
        <f>15.6*0.7</f>
        <v>10.92</v>
      </c>
      <c r="I24" s="31">
        <f>8.4*0.7</f>
        <v>5.88</v>
      </c>
      <c r="J24" s="32">
        <f>3.3*0.7</f>
        <v>2.3099999999999996</v>
      </c>
    </row>
    <row r="25" spans="1:11" x14ac:dyDescent="0.25">
      <c r="A25" s="80"/>
      <c r="B25" s="9" t="s">
        <v>17</v>
      </c>
      <c r="C25" s="6" t="s">
        <v>43</v>
      </c>
      <c r="D25" s="6" t="s">
        <v>44</v>
      </c>
      <c r="E25" s="19">
        <v>100</v>
      </c>
      <c r="F25" s="8">
        <v>11.33</v>
      </c>
      <c r="G25" s="33">
        <f>1625*0.1</f>
        <v>162.5</v>
      </c>
      <c r="H25" s="33">
        <f>57.32*0.1</f>
        <v>5.7320000000000002</v>
      </c>
      <c r="I25" s="33">
        <f>40.62*0.1</f>
        <v>4.0620000000000003</v>
      </c>
      <c r="J25" s="34">
        <f>257.61*0.1</f>
        <v>25.761000000000003</v>
      </c>
    </row>
    <row r="26" spans="1:11" x14ac:dyDescent="0.25">
      <c r="A26" s="80"/>
      <c r="B26" s="9" t="s">
        <v>46</v>
      </c>
      <c r="C26" s="6" t="s">
        <v>69</v>
      </c>
      <c r="D26" s="6" t="s">
        <v>70</v>
      </c>
      <c r="E26" s="19">
        <v>200</v>
      </c>
      <c r="F26" s="8">
        <v>9.84</v>
      </c>
      <c r="G26" s="8">
        <f>441*0.2</f>
        <v>88.2</v>
      </c>
      <c r="H26" s="31">
        <f>3.39*0.2</f>
        <v>0.67800000000000005</v>
      </c>
      <c r="I26" s="31">
        <f>1.39*0.2</f>
        <v>0.27799999999999997</v>
      </c>
      <c r="J26" s="32">
        <f>103.8*0.2</f>
        <v>20.76</v>
      </c>
    </row>
    <row r="27" spans="1:11" s="45" customFormat="1" x14ac:dyDescent="0.25">
      <c r="A27" s="80"/>
      <c r="B27" s="9" t="s">
        <v>49</v>
      </c>
      <c r="C27" s="6" t="s">
        <v>47</v>
      </c>
      <c r="D27" s="6" t="s">
        <v>75</v>
      </c>
      <c r="E27" s="19">
        <v>15</v>
      </c>
      <c r="F27" s="8">
        <v>3.16</v>
      </c>
      <c r="G27" s="8">
        <f>480*0.15</f>
        <v>72</v>
      </c>
      <c r="H27" s="7">
        <f>9*0.15</f>
        <v>1.3499999999999999</v>
      </c>
      <c r="I27" s="7">
        <f>18*0.15</f>
        <v>2.6999999999999997</v>
      </c>
      <c r="J27" s="11">
        <f>70*0.15</f>
        <v>10.5</v>
      </c>
    </row>
    <row r="28" spans="1:11" s="39" customFormat="1" ht="15.75" thickBot="1" x14ac:dyDescent="0.3">
      <c r="A28" s="80"/>
      <c r="B28" s="12" t="s">
        <v>14</v>
      </c>
      <c r="C28" s="13" t="s">
        <v>31</v>
      </c>
      <c r="D28" s="13" t="s">
        <v>32</v>
      </c>
      <c r="E28" s="20">
        <v>14.5</v>
      </c>
      <c r="F28" s="21">
        <v>0.59</v>
      </c>
      <c r="G28" s="21">
        <f>229.7*0.145</f>
        <v>33.306499999999993</v>
      </c>
      <c r="H28" s="14">
        <f>6.7*0.145</f>
        <v>0.97149999999999992</v>
      </c>
      <c r="I28" s="14">
        <f>1.1*0.145</f>
        <v>0.1595</v>
      </c>
      <c r="J28" s="15">
        <f>48.3*0.145</f>
        <v>7.0034999999999989</v>
      </c>
      <c r="K28"/>
    </row>
    <row r="29" spans="1:11" ht="16.5" thickBot="1" x14ac:dyDescent="0.3">
      <c r="A29" s="62" t="s">
        <v>15</v>
      </c>
      <c r="B29" s="63"/>
      <c r="C29" s="63"/>
      <c r="D29" s="63"/>
      <c r="E29" s="64"/>
      <c r="F29" s="25">
        <f>SUM(F23:F28)</f>
        <v>69.5</v>
      </c>
      <c r="G29" s="25">
        <f>SUM(G23:G28)</f>
        <v>581.79650000000004</v>
      </c>
      <c r="H29" s="25">
        <f>SUM(H23:H28)</f>
        <v>21.714000000000002</v>
      </c>
      <c r="I29" s="25">
        <f>SUM(I23:I28)</f>
        <v>19.499500000000001</v>
      </c>
      <c r="J29" s="25">
        <f>SUM(J23:J28)</f>
        <v>77.62700000000001</v>
      </c>
    </row>
    <row r="31" spans="1:11" ht="15.75" thickBot="1" x14ac:dyDescent="0.3">
      <c r="A31" s="55" t="s">
        <v>25</v>
      </c>
      <c r="B31" s="55"/>
      <c r="C31" s="55"/>
      <c r="D31" s="55"/>
      <c r="E31" s="55"/>
      <c r="F31" s="55"/>
      <c r="G31" s="55"/>
      <c r="H31" s="55"/>
      <c r="I31" s="55"/>
      <c r="J31" s="55"/>
    </row>
    <row r="32" spans="1:11" ht="15.75" x14ac:dyDescent="0.25">
      <c r="A32" s="28"/>
      <c r="B32" s="28"/>
      <c r="C32" s="54" t="s">
        <v>23</v>
      </c>
      <c r="D32" s="54"/>
      <c r="G32" s="56"/>
      <c r="H32" s="56"/>
      <c r="I32" s="56"/>
      <c r="J32" s="56"/>
    </row>
    <row r="33" spans="1:4" x14ac:dyDescent="0.25">
      <c r="A33" s="1"/>
      <c r="B33" s="1"/>
      <c r="C33" s="1"/>
      <c r="D33" s="1"/>
    </row>
    <row r="34" spans="1:4" x14ac:dyDescent="0.25">
      <c r="A34" s="69" t="s">
        <v>24</v>
      </c>
      <c r="B34" s="69"/>
    </row>
    <row r="35" spans="1:4" x14ac:dyDescent="0.25">
      <c r="A35" s="69" t="s">
        <v>26</v>
      </c>
      <c r="B35" s="69"/>
    </row>
    <row r="36" spans="1:4" x14ac:dyDescent="0.25">
      <c r="A36" s="4"/>
    </row>
  </sheetData>
  <mergeCells count="17">
    <mergeCell ref="A34:B34"/>
    <mergeCell ref="A35:B35"/>
    <mergeCell ref="A13:E13"/>
    <mergeCell ref="A14:A15"/>
    <mergeCell ref="A16:E16"/>
    <mergeCell ref="A23:A28"/>
    <mergeCell ref="A29:E29"/>
    <mergeCell ref="A31:J31"/>
    <mergeCell ref="C32:D32"/>
    <mergeCell ref="G32:J32"/>
    <mergeCell ref="A22:E22"/>
    <mergeCell ref="B1:C1"/>
    <mergeCell ref="G1:J1"/>
    <mergeCell ref="A8:E8"/>
    <mergeCell ref="A17:A21"/>
    <mergeCell ref="A3:A7"/>
    <mergeCell ref="A9:A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25.01 1-4 кл</vt:lpstr>
      <vt:lpstr>25.01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2022-01-24T11:40:11Z</dcterms:modified>
</cp:coreProperties>
</file>