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0.02 1-4 кл" sheetId="1" r:id="rId1"/>
    <sheet name="10.0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J23" i="2"/>
  <c r="I23" i="2"/>
  <c r="H23" i="2"/>
  <c r="G23" i="2"/>
  <c r="J22" i="2"/>
  <c r="I22" i="2"/>
  <c r="H22" i="2"/>
  <c r="G22" i="2"/>
  <c r="J19" i="2"/>
  <c r="I19" i="2"/>
  <c r="H19" i="2"/>
  <c r="G19" i="2"/>
  <c r="J17" i="2"/>
  <c r="I17" i="2"/>
  <c r="H17" i="2"/>
  <c r="G17" i="2"/>
  <c r="J16" i="2"/>
  <c r="I16" i="2"/>
  <c r="H16" i="2"/>
  <c r="G16" i="2"/>
  <c r="J12" i="2"/>
  <c r="I12" i="2"/>
  <c r="H12" i="2"/>
  <c r="G12" i="2"/>
  <c r="J10" i="2" l="1"/>
  <c r="I10" i="2"/>
  <c r="H10" i="2"/>
  <c r="G10" i="2"/>
  <c r="J8" i="2"/>
  <c r="I8" i="2"/>
  <c r="H8" i="2"/>
  <c r="G8" i="2"/>
  <c r="J6" i="2"/>
  <c r="I6" i="2"/>
  <c r="H6" i="2"/>
  <c r="G6" i="2"/>
  <c r="J4" i="2"/>
  <c r="I4" i="2"/>
  <c r="H4" i="2"/>
  <c r="G4" i="2"/>
  <c r="J3" i="2"/>
  <c r="I3" i="2"/>
  <c r="H3" i="2"/>
  <c r="G3" i="2"/>
  <c r="G22" i="1"/>
  <c r="J24" i="1"/>
  <c r="I24" i="1"/>
  <c r="H24" i="1"/>
  <c r="G24" i="1"/>
  <c r="J23" i="1"/>
  <c r="I23" i="1"/>
  <c r="H23" i="1"/>
  <c r="G23" i="1"/>
  <c r="J20" i="1" l="1"/>
  <c r="I20" i="1"/>
  <c r="H20" i="1"/>
  <c r="G20" i="1"/>
  <c r="J17" i="1" l="1"/>
  <c r="I17" i="1"/>
  <c r="H17" i="1"/>
  <c r="G17" i="1"/>
  <c r="F21" i="1"/>
  <c r="J15" i="1"/>
  <c r="I15" i="1"/>
  <c r="H15" i="1"/>
  <c r="G15" i="1"/>
  <c r="J18" i="1"/>
  <c r="I18" i="1"/>
  <c r="H18" i="1"/>
  <c r="G18" i="1"/>
  <c r="J13" i="1"/>
  <c r="I13" i="1"/>
  <c r="H13" i="1"/>
  <c r="G13" i="1"/>
  <c r="J10" i="1"/>
  <c r="I10" i="1"/>
  <c r="H10" i="1"/>
  <c r="G10" i="1"/>
  <c r="J11" i="1"/>
  <c r="I11" i="1"/>
  <c r="H11" i="1"/>
  <c r="G11" i="1"/>
  <c r="J7" i="1" l="1"/>
  <c r="I7" i="1"/>
  <c r="H7" i="1"/>
  <c r="G7" i="1"/>
  <c r="J4" i="1"/>
  <c r="I4" i="1"/>
  <c r="H4" i="1"/>
  <c r="G4" i="1"/>
  <c r="J3" i="1"/>
  <c r="I3" i="1"/>
  <c r="H3" i="1"/>
  <c r="G3" i="1"/>
  <c r="J21" i="1" l="1"/>
  <c r="I21" i="1"/>
  <c r="H21" i="1"/>
  <c r="G21" i="1"/>
  <c r="J5" i="1" l="1"/>
  <c r="I5" i="1"/>
  <c r="H5" i="1"/>
  <c r="G5" i="1"/>
  <c r="J14" i="2" l="1"/>
  <c r="H14" i="2"/>
  <c r="I11" i="2"/>
  <c r="F14" i="2"/>
  <c r="I14" i="2"/>
  <c r="G14" i="2"/>
  <c r="F11" i="2"/>
  <c r="J11" i="2"/>
  <c r="H11" i="2"/>
  <c r="G11" i="2"/>
  <c r="F26" i="2"/>
  <c r="J26" i="2"/>
  <c r="I26" i="2"/>
  <c r="H26" i="2"/>
  <c r="G26" i="2"/>
  <c r="F20" i="2"/>
  <c r="J20" i="2"/>
  <c r="I20" i="2"/>
  <c r="H20" i="2"/>
  <c r="G20" i="2"/>
  <c r="F7" i="2"/>
  <c r="J7" i="2"/>
  <c r="I7" i="2"/>
  <c r="H7" i="2"/>
  <c r="G7" i="2"/>
  <c r="F25" i="1" l="1"/>
  <c r="J25" i="1"/>
  <c r="I25" i="1"/>
  <c r="H25" i="1"/>
  <c r="G25" i="1"/>
  <c r="F14" i="1" l="1"/>
  <c r="J14" i="1"/>
  <c r="I14" i="1"/>
  <c r="H14" i="1"/>
  <c r="G14" i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<sst xmlns="http://schemas.openxmlformats.org/spreadsheetml/2006/main" count="182" uniqueCount="74">
  <si>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</si>
  <si>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</si>
  <si>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</si>
  <si>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</si>
  <si>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</si>
  <si>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</si>
  <si>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</si>
  <si>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</si>
  <si>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</si>
  <si>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</si>
  <si>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</si>
  <si>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</si>
  <si>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</si>
  <si>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</si>
  <si>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</si>
  <si>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</si>
  <si>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</si>
  <si>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</si>
  <si>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</si>
  <si>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</si>
  <si>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</si>
  <si>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</si>
  <si>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</si>
  <si>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</si>
  <si>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</si>
  <si>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</si>
  <si>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</si>
  <si>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</si>
  <si>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</si>
  <si>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</si>
  <si>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</si>
  <si>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</si>
  <si>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</si>
  <si>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</si>
  <si>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</si>
  <si>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ПР</t>
  </si>
  <si>
    <t>Кондитерское изделие</t>
  </si>
  <si>
    <t>№71-2015г.</t>
  </si>
  <si>
    <t>№250-2015г.</t>
  </si>
  <si>
    <t>Бефстроганов</t>
  </si>
  <si>
    <t>№302-2015г.</t>
  </si>
  <si>
    <t>Каша рассыпчатая гречневая</t>
  </si>
  <si>
    <t>Напиток</t>
  </si>
  <si>
    <t>№389-2015г.</t>
  </si>
  <si>
    <t>Сок фруктовый</t>
  </si>
  <si>
    <t>Фрукт</t>
  </si>
  <si>
    <t>Овощи натуральные свежие (помидоры)</t>
  </si>
  <si>
    <t>№171-2015г.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</si>
  <si>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</si>
  <si>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</si>
  <si>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</si>
  <si>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>Обед 6-7 кл.</t>
  </si>
  <si>
    <t>Обед дети-инвалиды 5-11 кл</t>
  </si>
  <si>
    <t>35/35</t>
  </si>
  <si>
    <t>№102-2015г.</t>
  </si>
  <si>
    <t>Суп картофельный с горохом с зеленью</t>
  </si>
  <si>
    <t>250/2</t>
  </si>
  <si>
    <t>№304-2015г.</t>
  </si>
  <si>
    <t>Рис отварной</t>
  </si>
  <si>
    <t>ТТК №18</t>
  </si>
  <si>
    <t>Филе цыплёнка запечённое</t>
  </si>
  <si>
    <t>№410,468-2015г.</t>
  </si>
  <si>
    <t>Ватрушка из дрожжевого теста с творожным фаршем</t>
  </si>
  <si>
    <t>№306-2015г.</t>
  </si>
  <si>
    <t>Бобовые отварные (кукуруза сахарная консервированная)</t>
  </si>
  <si>
    <t>ТТК №89</t>
  </si>
  <si>
    <t>Напиток ягодный (из компотной смеси)</t>
  </si>
  <si>
    <t>Фрукт свежий (мандарин)</t>
  </si>
  <si>
    <t>№338-2015г.</t>
  </si>
  <si>
    <t>Печенье "Курабье"</t>
  </si>
  <si>
    <t>150/10/5</t>
  </si>
  <si>
    <t>№2-2015г.</t>
  </si>
  <si>
    <t>Бутерброд с повидлом</t>
  </si>
  <si>
    <t>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</si>
</sst>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3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2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2" fontId="2" fillId="0" borderId="28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workbookViewId="0">
      <selection activeCell="B16" sqref="B16:J20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30"/>
      <c r="F1" s="1" t="s">
        <v>2</v>
      </c>
      <c r="G1" s="62">
        <v>44602</v>
      </c>
      <c r="H1" s="63"/>
      <c r="I1" s="63"/>
      <c r="J1" s="64"/>
      <c r="K1" s="1"/>
      <c r="L1" s="1"/>
    </row>
    <row r="2" spans="1:12" ht="15.75" thickBot="1" x14ac:dyDescent="0.3">
      <c r="A2" s="41" t="s">
        <v>3</v>
      </c>
      <c r="B2" s="4" t="s">
        <v>4</v>
      </c>
      <c r="C2" s="43" t="s">
        <v>5</v>
      </c>
      <c r="D2" s="41" t="s">
        <v>6</v>
      </c>
      <c r="E2" s="41" t="s">
        <v>7</v>
      </c>
      <c r="F2" s="41" t="s">
        <v>8</v>
      </c>
      <c r="G2" s="4" t="s">
        <v>9</v>
      </c>
      <c r="H2" s="4" t="s">
        <v>10</v>
      </c>
      <c r="I2" s="4" t="s">
        <v>11</v>
      </c>
      <c r="J2" s="42" t="s">
        <v>12</v>
      </c>
    </row>
    <row r="3" spans="1:12" s="34" customFormat="1" x14ac:dyDescent="0.25">
      <c r="A3" s="53" t="s">
        <v>27</v>
      </c>
      <c r="B3" s="20" t="s">
        <v>31</v>
      </c>
      <c r="C3" s="21" t="s">
        <v>37</v>
      </c>
      <c r="D3" s="21" t="s">
        <v>46</v>
      </c>
      <c r="E3" s="13">
        <v>20</v>
      </c>
      <c r="F3" s="14">
        <v>4.79</v>
      </c>
      <c r="G3" s="14">
        <f>11*0.4</f>
        <v>4.4000000000000004</v>
      </c>
      <c r="H3" s="14">
        <f>0.55*0.4</f>
        <v>0.22000000000000003</v>
      </c>
      <c r="I3" s="14">
        <f>0.1*0.4</f>
        <v>4.0000000000000008E-2</v>
      </c>
      <c r="J3" s="15">
        <f>1.9*0.4</f>
        <v>0.76</v>
      </c>
    </row>
    <row r="4" spans="1:12" s="33" customFormat="1" x14ac:dyDescent="0.25">
      <c r="A4" s="53"/>
      <c r="B4" s="7" t="s">
        <v>13</v>
      </c>
      <c r="C4" s="5" t="s">
        <v>38</v>
      </c>
      <c r="D4" s="5" t="s">
        <v>39</v>
      </c>
      <c r="E4" s="16" t="s">
        <v>53</v>
      </c>
      <c r="F4" s="6">
        <v>51.21</v>
      </c>
      <c r="G4" s="6">
        <f>290*0.7</f>
        <v>203</v>
      </c>
      <c r="H4" s="6">
        <f>15.2*0.7</f>
        <v>10.639999999999999</v>
      </c>
      <c r="I4" s="6">
        <f>23.1*0.7</f>
        <v>16.170000000000002</v>
      </c>
      <c r="J4" s="8">
        <f>5.12*0.7</f>
        <v>3.5839999999999996</v>
      </c>
      <c r="K4"/>
    </row>
    <row r="5" spans="1:12" s="33" customFormat="1" x14ac:dyDescent="0.25">
      <c r="A5" s="53"/>
      <c r="B5" s="7" t="s">
        <v>17</v>
      </c>
      <c r="C5" s="5" t="s">
        <v>40</v>
      </c>
      <c r="D5" s="5" t="s">
        <v>41</v>
      </c>
      <c r="E5" s="16">
        <v>130</v>
      </c>
      <c r="F5" s="6">
        <v>14.73</v>
      </c>
      <c r="G5" s="28">
        <f>1625*0.13</f>
        <v>211.25</v>
      </c>
      <c r="H5" s="28">
        <f>57.32*0.13</f>
        <v>7.4516</v>
      </c>
      <c r="I5" s="28">
        <f>40.62*0.13</f>
        <v>5.2805999999999997</v>
      </c>
      <c r="J5" s="29">
        <f>257.61*0.13</f>
        <v>33.4893</v>
      </c>
      <c r="K5"/>
    </row>
    <row r="6" spans="1:12" s="35" customFormat="1" x14ac:dyDescent="0.25">
      <c r="A6" s="53"/>
      <c r="B6" s="7" t="s">
        <v>18</v>
      </c>
      <c r="C6" s="5" t="s">
        <v>19</v>
      </c>
      <c r="D6" s="5" t="s">
        <v>20</v>
      </c>
      <c r="E6" s="16" t="s">
        <v>34</v>
      </c>
      <c r="F6" s="6">
        <v>2.92</v>
      </c>
      <c r="G6" s="6">
        <v>60</v>
      </c>
      <c r="H6" s="6">
        <v>7.0000000000000007E-2</v>
      </c>
      <c r="I6" s="6">
        <v>0.02</v>
      </c>
      <c r="J6" s="8">
        <v>15</v>
      </c>
      <c r="K6"/>
    </row>
    <row r="7" spans="1:12" ht="15.75" thickBot="1" x14ac:dyDescent="0.3">
      <c r="A7" s="54"/>
      <c r="B7" s="9" t="s">
        <v>14</v>
      </c>
      <c r="C7" s="10" t="s">
        <v>32</v>
      </c>
      <c r="D7" s="10" t="s">
        <v>33</v>
      </c>
      <c r="E7" s="17">
        <v>26.5</v>
      </c>
      <c r="F7" s="18">
        <v>1.08</v>
      </c>
      <c r="G7" s="18">
        <f>229.7*0.265</f>
        <v>60.8705</v>
      </c>
      <c r="H7" s="11">
        <f>6.7*0.265</f>
        <v>1.7755000000000001</v>
      </c>
      <c r="I7" s="11">
        <f>1.1*0.265</f>
        <v>0.29150000000000004</v>
      </c>
      <c r="J7" s="12">
        <f>48.3*0.265</f>
        <v>12.7995</v>
      </c>
      <c r="K7"/>
    </row>
    <row r="8" spans="1:12" ht="16.5" thickBot="1" x14ac:dyDescent="0.3">
      <c r="A8" s="68" t="s">
        <v>15</v>
      </c>
      <c r="B8" s="69"/>
      <c r="C8" s="69"/>
      <c r="D8" s="69"/>
      <c r="E8" s="70"/>
      <c r="F8" s="19">
        <f>SUM(F3:F7)</f>
        <v>74.73</v>
      </c>
      <c r="G8" s="19">
        <f>SUM(G3:G7)</f>
        <v>539.52049999999997</v>
      </c>
      <c r="H8" s="19">
        <f>SUM(H3:H7)</f>
        <v>20.1571</v>
      </c>
      <c r="I8" s="19">
        <f>SUM(I3:I7)</f>
        <v>21.802099999999999</v>
      </c>
      <c r="J8" s="19">
        <f>SUM(J3:J7)</f>
        <v>65.632800000000003</v>
      </c>
    </row>
    <row r="9" spans="1:12" s="33" customFormat="1" x14ac:dyDescent="0.25">
      <c r="A9" s="55" t="s">
        <v>28</v>
      </c>
      <c r="B9" s="20" t="s">
        <v>16</v>
      </c>
      <c r="C9" s="21" t="s">
        <v>54</v>
      </c>
      <c r="D9" s="21" t="s">
        <v>55</v>
      </c>
      <c r="E9" s="13" t="s">
        <v>56</v>
      </c>
      <c r="F9" s="14">
        <v>9.3000000000000007</v>
      </c>
      <c r="G9" s="14">
        <v>148.25</v>
      </c>
      <c r="H9" s="14">
        <v>5.49</v>
      </c>
      <c r="I9" s="14">
        <v>5.27</v>
      </c>
      <c r="J9" s="15">
        <v>16.54</v>
      </c>
    </row>
    <row r="10" spans="1:12" s="33" customFormat="1" x14ac:dyDescent="0.25">
      <c r="A10" s="56"/>
      <c r="B10" s="7" t="s">
        <v>13</v>
      </c>
      <c r="C10" s="31" t="s">
        <v>59</v>
      </c>
      <c r="D10" s="32" t="s">
        <v>60</v>
      </c>
      <c r="E10" s="16">
        <v>25</v>
      </c>
      <c r="F10" s="6">
        <v>19.16</v>
      </c>
      <c r="G10" s="28">
        <f>129.15*0.5</f>
        <v>64.575000000000003</v>
      </c>
      <c r="H10" s="28">
        <f>17.2*0.5</f>
        <v>8.6</v>
      </c>
      <c r="I10" s="28">
        <f>3.8*0.5</f>
        <v>1.9</v>
      </c>
      <c r="J10" s="29">
        <f>6.6*0.5</f>
        <v>3.3</v>
      </c>
      <c r="K10"/>
    </row>
    <row r="11" spans="1:12" x14ac:dyDescent="0.25">
      <c r="A11" s="56"/>
      <c r="B11" s="7" t="s">
        <v>17</v>
      </c>
      <c r="C11" s="5" t="s">
        <v>57</v>
      </c>
      <c r="D11" s="5" t="s">
        <v>58</v>
      </c>
      <c r="E11" s="16">
        <v>150</v>
      </c>
      <c r="F11" s="6">
        <v>11.36</v>
      </c>
      <c r="G11" s="6">
        <f>1398*0.15</f>
        <v>209.7</v>
      </c>
      <c r="H11" s="6">
        <f>24.34*0.15</f>
        <v>3.6509999999999998</v>
      </c>
      <c r="I11" s="6">
        <f>35.83*0.15</f>
        <v>5.3744999999999994</v>
      </c>
      <c r="J11" s="8">
        <f>244.56*0.15</f>
        <v>36.683999999999997</v>
      </c>
      <c r="K11"/>
    </row>
    <row r="12" spans="1:12" x14ac:dyDescent="0.25">
      <c r="A12" s="56"/>
      <c r="B12" s="7" t="s">
        <v>18</v>
      </c>
      <c r="C12" s="5" t="s">
        <v>19</v>
      </c>
      <c r="D12" s="5" t="s">
        <v>20</v>
      </c>
      <c r="E12" s="16" t="s">
        <v>34</v>
      </c>
      <c r="F12" s="6">
        <v>2.92</v>
      </c>
      <c r="G12" s="6">
        <v>60</v>
      </c>
      <c r="H12" s="6">
        <v>7.0000000000000007E-2</v>
      </c>
      <c r="I12" s="6">
        <v>0.02</v>
      </c>
      <c r="J12" s="8">
        <v>15</v>
      </c>
      <c r="K12"/>
    </row>
    <row r="13" spans="1:12" ht="15.75" thickBot="1" x14ac:dyDescent="0.3">
      <c r="A13" s="56"/>
      <c r="B13" s="9" t="s">
        <v>14</v>
      </c>
      <c r="C13" s="10" t="s">
        <v>32</v>
      </c>
      <c r="D13" s="10" t="s">
        <v>33</v>
      </c>
      <c r="E13" s="17">
        <v>44</v>
      </c>
      <c r="F13" s="18">
        <v>1.79</v>
      </c>
      <c r="G13" s="18">
        <f>229.7*0.44</f>
        <v>101.068</v>
      </c>
      <c r="H13" s="11">
        <f>6.7*0.44</f>
        <v>2.948</v>
      </c>
      <c r="I13" s="11">
        <f>1.1*0.44</f>
        <v>0.48400000000000004</v>
      </c>
      <c r="J13" s="12">
        <f>48.3*0.44</f>
        <v>21.251999999999999</v>
      </c>
    </row>
    <row r="14" spans="1:12" ht="16.5" thickBot="1" x14ac:dyDescent="0.3">
      <c r="A14" s="71" t="s">
        <v>15</v>
      </c>
      <c r="B14" s="69"/>
      <c r="C14" s="69"/>
      <c r="D14" s="69"/>
      <c r="E14" s="70"/>
      <c r="F14" s="19">
        <f>SUM(F9:F13)</f>
        <v>44.53</v>
      </c>
      <c r="G14" s="19">
        <f t="shared" ref="G14:J14" si="0">SUM(G9:G13)</f>
        <v>583.59299999999996</v>
      </c>
      <c r="H14" s="19">
        <f t="shared" si="0"/>
        <v>20.759</v>
      </c>
      <c r="I14" s="19">
        <f t="shared" si="0"/>
        <v>13.048499999999999</v>
      </c>
      <c r="J14" s="19">
        <f t="shared" si="0"/>
        <v>92.775999999999996</v>
      </c>
    </row>
    <row r="15" spans="1:12" s="46" customFormat="1" ht="30" x14ac:dyDescent="0.25">
      <c r="A15" s="76" t="s">
        <v>29</v>
      </c>
      <c r="B15" s="75" t="s">
        <v>31</v>
      </c>
      <c r="C15" s="49" t="s">
        <v>63</v>
      </c>
      <c r="D15" s="49" t="s">
        <v>64</v>
      </c>
      <c r="E15" s="13">
        <v>10</v>
      </c>
      <c r="F15" s="14">
        <v>4.8499999999999996</v>
      </c>
      <c r="G15" s="14">
        <f>736*0.01</f>
        <v>7.36</v>
      </c>
      <c r="H15" s="14">
        <f>20.55*0.01</f>
        <v>0.20550000000000002</v>
      </c>
      <c r="I15" s="14">
        <f>29.1*0.01</f>
        <v>0.29100000000000004</v>
      </c>
      <c r="J15" s="15">
        <f>97.89*0.01</f>
        <v>0.97889999999999999</v>
      </c>
    </row>
    <row r="16" spans="1:12" s="39" customFormat="1" x14ac:dyDescent="0.25">
      <c r="A16" s="77"/>
      <c r="B16" s="7" t="s">
        <v>16</v>
      </c>
      <c r="C16" s="5" t="s">
        <v>54</v>
      </c>
      <c r="D16" s="5" t="s">
        <v>55</v>
      </c>
      <c r="E16" s="16" t="s">
        <v>56</v>
      </c>
      <c r="F16" s="6">
        <v>9.3000000000000007</v>
      </c>
      <c r="G16" s="6">
        <v>148.25</v>
      </c>
      <c r="H16" s="6">
        <v>5.49</v>
      </c>
      <c r="I16" s="6">
        <v>5.27</v>
      </c>
      <c r="J16" s="8">
        <v>16.54</v>
      </c>
    </row>
    <row r="17" spans="1:11" x14ac:dyDescent="0.25">
      <c r="A17" s="77"/>
      <c r="B17" s="7" t="s">
        <v>13</v>
      </c>
      <c r="C17" s="31" t="s">
        <v>59</v>
      </c>
      <c r="D17" s="32" t="s">
        <v>60</v>
      </c>
      <c r="E17" s="16">
        <v>50</v>
      </c>
      <c r="F17" s="6">
        <v>38.32</v>
      </c>
      <c r="G17" s="28">
        <f>129.15*1</f>
        <v>129.15</v>
      </c>
      <c r="H17" s="28">
        <f>17.2*1</f>
        <v>17.2</v>
      </c>
      <c r="I17" s="28">
        <f>3.8*1</f>
        <v>3.8</v>
      </c>
      <c r="J17" s="29">
        <f>6.6*1</f>
        <v>6.6</v>
      </c>
    </row>
    <row r="18" spans="1:11" s="25" customFormat="1" x14ac:dyDescent="0.25">
      <c r="A18" s="77"/>
      <c r="B18" s="7" t="s">
        <v>17</v>
      </c>
      <c r="C18" s="5" t="s">
        <v>57</v>
      </c>
      <c r="D18" s="5" t="s">
        <v>58</v>
      </c>
      <c r="E18" s="16">
        <v>150</v>
      </c>
      <c r="F18" s="6">
        <v>11.36</v>
      </c>
      <c r="G18" s="6">
        <f>1398*0.15</f>
        <v>209.7</v>
      </c>
      <c r="H18" s="6">
        <f>24.34*0.15</f>
        <v>3.6509999999999998</v>
      </c>
      <c r="I18" s="6">
        <f>35.83*0.15</f>
        <v>5.3744999999999994</v>
      </c>
      <c r="J18" s="8">
        <f>244.56*0.15</f>
        <v>36.683999999999997</v>
      </c>
      <c r="K18"/>
    </row>
    <row r="19" spans="1:11" x14ac:dyDescent="0.25">
      <c r="A19" s="77"/>
      <c r="B19" s="7" t="s">
        <v>42</v>
      </c>
      <c r="C19" s="31" t="s">
        <v>65</v>
      </c>
      <c r="D19" s="32" t="s">
        <v>66</v>
      </c>
      <c r="E19" s="16">
        <v>200</v>
      </c>
      <c r="F19" s="6">
        <v>10.039999999999999</v>
      </c>
      <c r="G19" s="6">
        <v>111</v>
      </c>
      <c r="H19" s="26">
        <v>0.7</v>
      </c>
      <c r="I19" s="26">
        <v>0</v>
      </c>
      <c r="J19" s="27">
        <v>27</v>
      </c>
      <c r="K19"/>
    </row>
    <row r="20" spans="1:11" ht="15.75" thickBot="1" x14ac:dyDescent="0.3">
      <c r="A20" s="78"/>
      <c r="B20" s="9" t="s">
        <v>14</v>
      </c>
      <c r="C20" s="10" t="s">
        <v>32</v>
      </c>
      <c r="D20" s="10" t="s">
        <v>33</v>
      </c>
      <c r="E20" s="17">
        <v>21</v>
      </c>
      <c r="F20" s="18">
        <v>0.86</v>
      </c>
      <c r="G20" s="18">
        <f>229.7*0.21</f>
        <v>48.236999999999995</v>
      </c>
      <c r="H20" s="11">
        <f>6.7*0.21</f>
        <v>1.407</v>
      </c>
      <c r="I20" s="11">
        <f>1.1*0.21</f>
        <v>0.23100000000000001</v>
      </c>
      <c r="J20" s="12">
        <f>48.3*0.21</f>
        <v>10.142999999999999</v>
      </c>
      <c r="K20"/>
    </row>
    <row r="21" spans="1:11" ht="16.5" thickBot="1" x14ac:dyDescent="0.3">
      <c r="A21" s="72" t="s">
        <v>15</v>
      </c>
      <c r="B21" s="69"/>
      <c r="C21" s="69"/>
      <c r="D21" s="69"/>
      <c r="E21" s="70"/>
      <c r="F21" s="19">
        <f>SUM(F15:F20)</f>
        <v>74.73</v>
      </c>
      <c r="G21" s="19">
        <f>SUM(G15:G20)</f>
        <v>653.697</v>
      </c>
      <c r="H21" s="19">
        <f>SUM(H15:H20)</f>
        <v>28.653499999999998</v>
      </c>
      <c r="I21" s="19">
        <f>SUM(I15:I20)</f>
        <v>14.9665</v>
      </c>
      <c r="J21" s="19">
        <f>SUM(J15:J20)</f>
        <v>97.945899999999995</v>
      </c>
      <c r="K21"/>
    </row>
    <row r="22" spans="1:11" x14ac:dyDescent="0.25">
      <c r="A22" s="55" t="s">
        <v>30</v>
      </c>
      <c r="B22" s="20" t="s">
        <v>42</v>
      </c>
      <c r="C22" s="21" t="s">
        <v>43</v>
      </c>
      <c r="D22" s="21" t="s">
        <v>44</v>
      </c>
      <c r="E22" s="44">
        <v>200</v>
      </c>
      <c r="F22" s="22">
        <v>15</v>
      </c>
      <c r="G22" s="24">
        <f>520*0.2</f>
        <v>104</v>
      </c>
      <c r="H22" s="14">
        <v>0.6</v>
      </c>
      <c r="I22" s="14">
        <v>0.2</v>
      </c>
      <c r="J22" s="15">
        <v>23.6</v>
      </c>
      <c r="K22"/>
    </row>
    <row r="23" spans="1:11" s="34" customFormat="1" ht="30" x14ac:dyDescent="0.25">
      <c r="A23" s="56"/>
      <c r="B23" s="7" t="s">
        <v>21</v>
      </c>
      <c r="C23" s="5" t="s">
        <v>61</v>
      </c>
      <c r="D23" s="5" t="s">
        <v>62</v>
      </c>
      <c r="E23" s="16">
        <v>75</v>
      </c>
      <c r="F23" s="6">
        <v>15.32</v>
      </c>
      <c r="G23" s="6">
        <f>202</f>
        <v>202</v>
      </c>
      <c r="H23" s="26">
        <f>9.22</f>
        <v>9.2200000000000006</v>
      </c>
      <c r="I23" s="26">
        <f>5.48</f>
        <v>5.48</v>
      </c>
      <c r="J23" s="27">
        <f>29.18</f>
        <v>29.18</v>
      </c>
      <c r="K23"/>
    </row>
    <row r="24" spans="1:11" s="25" customFormat="1" ht="15.75" thickBot="1" x14ac:dyDescent="0.3">
      <c r="A24" s="56"/>
      <c r="B24" s="9" t="s">
        <v>45</v>
      </c>
      <c r="C24" s="10" t="s">
        <v>68</v>
      </c>
      <c r="D24" s="10" t="s">
        <v>67</v>
      </c>
      <c r="E24" s="45">
        <v>92</v>
      </c>
      <c r="F24" s="11">
        <v>14.21</v>
      </c>
      <c r="G24" s="37">
        <f>38*0.92</f>
        <v>34.96</v>
      </c>
      <c r="H24" s="37">
        <f>0.8*0.92</f>
        <v>0.7360000000000001</v>
      </c>
      <c r="I24" s="37">
        <f>0.2*0.92</f>
        <v>0.18400000000000002</v>
      </c>
      <c r="J24" s="38">
        <f>7.5*0.92</f>
        <v>6.9</v>
      </c>
      <c r="K24"/>
    </row>
    <row r="25" spans="1:11" ht="16.5" thickBot="1" x14ac:dyDescent="0.3">
      <c r="A25" s="57" t="s">
        <v>15</v>
      </c>
      <c r="B25" s="58"/>
      <c r="C25" s="58"/>
      <c r="D25" s="58"/>
      <c r="E25" s="59"/>
      <c r="F25" s="36">
        <f>SUM(F22:F24)</f>
        <v>44.53</v>
      </c>
      <c r="G25" s="36">
        <f t="shared" ref="G25:J25" si="1">SUM(G22:G24)</f>
        <v>340.96</v>
      </c>
      <c r="H25" s="36">
        <f t="shared" si="1"/>
        <v>10.556000000000001</v>
      </c>
      <c r="I25" s="36">
        <f t="shared" si="1"/>
        <v>5.8640000000000008</v>
      </c>
      <c r="J25" s="36">
        <f t="shared" si="1"/>
        <v>59.68</v>
      </c>
      <c r="K25"/>
    </row>
    <row r="27" spans="1:11" ht="15.75" thickBot="1" x14ac:dyDescent="0.3">
      <c r="A27" s="66" t="s">
        <v>25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1" ht="15.75" x14ac:dyDescent="0.25">
      <c r="A28" s="23"/>
      <c r="B28" s="23"/>
      <c r="C28" s="65" t="s">
        <v>23</v>
      </c>
      <c r="D28" s="65"/>
      <c r="G28" s="67"/>
      <c r="H28" s="67"/>
      <c r="I28" s="67"/>
      <c r="J28" s="67"/>
    </row>
    <row r="29" spans="1:11" x14ac:dyDescent="0.25">
      <c r="A29" s="1"/>
      <c r="B29" s="1"/>
      <c r="C29" s="1"/>
      <c r="D29" s="1"/>
    </row>
    <row r="30" spans="1:11" x14ac:dyDescent="0.25">
      <c r="A30" s="52" t="s">
        <v>24</v>
      </c>
      <c r="B30" s="52"/>
    </row>
    <row r="31" spans="1:11" x14ac:dyDescent="0.25">
      <c r="A31" s="52" t="s">
        <v>26</v>
      </c>
      <c r="B31" s="52"/>
    </row>
    <row r="32" spans="1:11" x14ac:dyDescent="0.25">
      <c r="A32" s="3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B1:C1"/>
    <mergeCell ref="G1:J1"/>
    <mergeCell ref="C28:D28"/>
    <mergeCell ref="A27:J27"/>
    <mergeCell ref="G28:J28"/>
    <mergeCell ref="A8:E8"/>
    <mergeCell ref="A9:A13"/>
    <mergeCell ref="A14:E14"/>
    <mergeCell ref="A21:E21"/>
    <mergeCell ref="A30:B30"/>
    <mergeCell ref="A31:B31"/>
    <mergeCell ref="A3:A7"/>
    <mergeCell ref="A22:A24"/>
    <mergeCell ref="A25:E25"/>
    <mergeCell ref="A15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workbookViewId="0">
      <selection activeCell="K25" sqref="K25"/>
    </sheetView>
  </sheetViews>
  <sheetFormatPr defaultRowHeight="15" x14ac:dyDescent="0.25"/>
  <cols>
    <col min="1" max="1" width="24" style="39" customWidth="1"/>
    <col min="2" max="2" width="24.7109375" style="39" customWidth="1"/>
    <col min="3" max="3" width="12.28515625" style="39" customWidth="1"/>
    <col min="4" max="4" width="46.28515625" style="39" customWidth="1"/>
    <col min="5" max="5" width="10.140625" style="39" bestFit="1" customWidth="1"/>
    <col min="6" max="6" width="9.140625" style="39"/>
    <col min="7" max="7" width="18.140625" style="39" customWidth="1"/>
    <col min="8" max="8" width="11.42578125" style="39" bestFit="1" customWidth="1"/>
    <col min="9" max="9" width="9.140625" style="39"/>
    <col min="10" max="10" width="10.85546875" style="39" customWidth="1"/>
    <col min="11" max="16384" width="9.140625" style="39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30"/>
      <c r="F1" s="1" t="s">
        <v>2</v>
      </c>
      <c r="G1" s="62">
        <v>44602</v>
      </c>
      <c r="H1" s="63"/>
      <c r="I1" s="63"/>
      <c r="J1" s="64"/>
      <c r="K1" s="1"/>
      <c r="L1" s="1"/>
    </row>
    <row r="2" spans="1:12" ht="15.75" thickBot="1" x14ac:dyDescent="0.3">
      <c r="A2" s="41" t="s">
        <v>3</v>
      </c>
      <c r="B2" s="4" t="s">
        <v>4</v>
      </c>
      <c r="C2" s="43" t="s">
        <v>5</v>
      </c>
      <c r="D2" s="79" t="s">
        <v>6</v>
      </c>
      <c r="E2" s="79" t="s">
        <v>7</v>
      </c>
      <c r="F2" s="79" t="s">
        <v>8</v>
      </c>
      <c r="G2" s="4" t="s">
        <v>9</v>
      </c>
      <c r="H2" s="4" t="s">
        <v>10</v>
      </c>
      <c r="I2" s="4" t="s">
        <v>11</v>
      </c>
      <c r="J2" s="42" t="s">
        <v>12</v>
      </c>
    </row>
    <row r="3" spans="1:12" x14ac:dyDescent="0.25">
      <c r="A3" s="53" t="s">
        <v>48</v>
      </c>
      <c r="B3" s="20" t="s">
        <v>13</v>
      </c>
      <c r="C3" s="21" t="s">
        <v>38</v>
      </c>
      <c r="D3" s="21" t="s">
        <v>39</v>
      </c>
      <c r="E3" s="13" t="s">
        <v>53</v>
      </c>
      <c r="F3" s="14">
        <v>51.21</v>
      </c>
      <c r="G3" s="14">
        <f>290*0.7</f>
        <v>203</v>
      </c>
      <c r="H3" s="14">
        <f>15.2*0.7</f>
        <v>10.639999999999999</v>
      </c>
      <c r="I3" s="14">
        <f>23.1*0.7</f>
        <v>16.170000000000002</v>
      </c>
      <c r="J3" s="15">
        <f>5.12*0.7</f>
        <v>3.5839999999999996</v>
      </c>
    </row>
    <row r="4" spans="1:12" x14ac:dyDescent="0.25">
      <c r="A4" s="53"/>
      <c r="B4" s="7" t="s">
        <v>17</v>
      </c>
      <c r="C4" s="5" t="s">
        <v>40</v>
      </c>
      <c r="D4" s="5" t="s">
        <v>41</v>
      </c>
      <c r="E4" s="16">
        <v>110</v>
      </c>
      <c r="F4" s="6">
        <v>12.46</v>
      </c>
      <c r="G4" s="28">
        <f>1625*0.11</f>
        <v>178.75</v>
      </c>
      <c r="H4" s="28">
        <f>57.32*0.11</f>
        <v>6.3052000000000001</v>
      </c>
      <c r="I4" s="28">
        <f>40.62*0.11</f>
        <v>4.4681999999999995</v>
      </c>
      <c r="J4" s="29">
        <f>257.61*0.11</f>
        <v>28.337100000000003</v>
      </c>
      <c r="K4"/>
    </row>
    <row r="5" spans="1:12" x14ac:dyDescent="0.25">
      <c r="A5" s="53"/>
      <c r="B5" s="7" t="s">
        <v>18</v>
      </c>
      <c r="C5" s="5" t="s">
        <v>19</v>
      </c>
      <c r="D5" s="5" t="s">
        <v>20</v>
      </c>
      <c r="E5" s="16" t="s">
        <v>34</v>
      </c>
      <c r="F5" s="6">
        <v>2.92</v>
      </c>
      <c r="G5" s="6">
        <v>60</v>
      </c>
      <c r="H5" s="6">
        <v>7.0000000000000007E-2</v>
      </c>
      <c r="I5" s="6">
        <v>0.02</v>
      </c>
      <c r="J5" s="8">
        <v>15</v>
      </c>
      <c r="K5"/>
    </row>
    <row r="6" spans="1:12" ht="15.75" thickBot="1" x14ac:dyDescent="0.3">
      <c r="A6" s="53"/>
      <c r="B6" s="9" t="s">
        <v>36</v>
      </c>
      <c r="C6" s="10" t="s">
        <v>35</v>
      </c>
      <c r="D6" s="10" t="s">
        <v>69</v>
      </c>
      <c r="E6" s="45">
        <v>13.8</v>
      </c>
      <c r="F6" s="11">
        <v>2.91</v>
      </c>
      <c r="G6" s="37">
        <f>480*0.138</f>
        <v>66.240000000000009</v>
      </c>
      <c r="H6" s="37">
        <f>8.5*0.138</f>
        <v>1.173</v>
      </c>
      <c r="I6" s="37">
        <f>18*0.138</f>
        <v>2.484</v>
      </c>
      <c r="J6" s="38">
        <f>70*0.138</f>
        <v>9.66</v>
      </c>
      <c r="K6"/>
    </row>
    <row r="7" spans="1:12" ht="16.5" thickBot="1" x14ac:dyDescent="0.3">
      <c r="A7" s="68" t="s">
        <v>15</v>
      </c>
      <c r="B7" s="69"/>
      <c r="C7" s="69"/>
      <c r="D7" s="69"/>
      <c r="E7" s="70"/>
      <c r="F7" s="19">
        <f>SUM(F3:F6)</f>
        <v>69.5</v>
      </c>
      <c r="G7" s="19">
        <f>SUM(G3:G6)</f>
        <v>507.99</v>
      </c>
      <c r="H7" s="19">
        <f>SUM(H3:H6)</f>
        <v>18.188200000000002</v>
      </c>
      <c r="I7" s="19">
        <f>SUM(I3:I6)</f>
        <v>23.142200000000003</v>
      </c>
      <c r="J7" s="19">
        <f>SUM(J3:J6)</f>
        <v>56.581100000000006</v>
      </c>
    </row>
    <row r="8" spans="1:12" x14ac:dyDescent="0.25">
      <c r="A8" s="53" t="s">
        <v>49</v>
      </c>
      <c r="B8" s="20" t="s">
        <v>13</v>
      </c>
      <c r="C8" s="21" t="s">
        <v>47</v>
      </c>
      <c r="D8" s="21" t="s">
        <v>41</v>
      </c>
      <c r="E8" s="13" t="s">
        <v>70</v>
      </c>
      <c r="F8" s="14">
        <v>22.14</v>
      </c>
      <c r="G8" s="47">
        <f>1625*0.15+66*1+40*0.5</f>
        <v>329.75</v>
      </c>
      <c r="H8" s="47">
        <f>57.32*0.15+0.08*1</f>
        <v>8.677999999999999</v>
      </c>
      <c r="I8" s="47">
        <f>40.62*0.15+7.25*1</f>
        <v>13.343</v>
      </c>
      <c r="J8" s="48">
        <f>257.61*0.15+0.13*1+9.98*0.5</f>
        <v>43.761500000000005</v>
      </c>
      <c r="K8"/>
    </row>
    <row r="9" spans="1:12" x14ac:dyDescent="0.25">
      <c r="A9" s="53"/>
      <c r="B9" s="7" t="s">
        <v>18</v>
      </c>
      <c r="C9" s="5" t="s">
        <v>19</v>
      </c>
      <c r="D9" s="5" t="s">
        <v>20</v>
      </c>
      <c r="E9" s="16" t="s">
        <v>34</v>
      </c>
      <c r="F9" s="6">
        <v>2.92</v>
      </c>
      <c r="G9" s="6">
        <v>60</v>
      </c>
      <c r="H9" s="6">
        <v>7.0000000000000007E-2</v>
      </c>
      <c r="I9" s="6">
        <v>0.02</v>
      </c>
      <c r="J9" s="8">
        <v>15</v>
      </c>
      <c r="K9"/>
    </row>
    <row r="10" spans="1:12" ht="15.75" thickBot="1" x14ac:dyDescent="0.3">
      <c r="A10" s="54"/>
      <c r="B10" s="9" t="s">
        <v>14</v>
      </c>
      <c r="C10" s="10" t="s">
        <v>32</v>
      </c>
      <c r="D10" s="10" t="s">
        <v>33</v>
      </c>
      <c r="E10" s="17">
        <v>47.5</v>
      </c>
      <c r="F10" s="18">
        <v>1.94</v>
      </c>
      <c r="G10" s="18">
        <f>229.7*0.475</f>
        <v>109.10749999999999</v>
      </c>
      <c r="H10" s="11">
        <f>6.7*0.475</f>
        <v>3.1825000000000001</v>
      </c>
      <c r="I10" s="11">
        <f>1.1*0.475</f>
        <v>0.52249999999999996</v>
      </c>
      <c r="J10" s="12">
        <f>48.3*0.475</f>
        <v>22.942499999999999</v>
      </c>
      <c r="K10"/>
    </row>
    <row r="11" spans="1:12" ht="16.5" thickBot="1" x14ac:dyDescent="0.3">
      <c r="A11" s="68" t="s">
        <v>15</v>
      </c>
      <c r="B11" s="69"/>
      <c r="C11" s="69"/>
      <c r="D11" s="69"/>
      <c r="E11" s="70"/>
      <c r="F11" s="19">
        <f>SUM(F8:F10)</f>
        <v>27.000000000000004</v>
      </c>
      <c r="G11" s="19">
        <f>SUM(G8:G10)</f>
        <v>498.85749999999996</v>
      </c>
      <c r="H11" s="19">
        <f>SUM(H8:H10)</f>
        <v>11.930499999999999</v>
      </c>
      <c r="I11" s="19">
        <f>SUM(I8:I10)</f>
        <v>13.8855</v>
      </c>
      <c r="J11" s="19">
        <f>SUM(J8:J10)</f>
        <v>81.704000000000008</v>
      </c>
    </row>
    <row r="12" spans="1:12" x14ac:dyDescent="0.25">
      <c r="A12" s="53" t="s">
        <v>50</v>
      </c>
      <c r="B12" s="20" t="s">
        <v>31</v>
      </c>
      <c r="C12" s="21" t="s">
        <v>71</v>
      </c>
      <c r="D12" s="21" t="s">
        <v>72</v>
      </c>
      <c r="E12" s="13" t="s">
        <v>73</v>
      </c>
      <c r="F12" s="14">
        <v>4.08</v>
      </c>
      <c r="G12" s="14">
        <f>250*0.15+229.7*0.14</f>
        <v>69.658000000000001</v>
      </c>
      <c r="H12" s="14">
        <f>0.4*0.15+6.7*0.14</f>
        <v>0.99800000000000022</v>
      </c>
      <c r="I12" s="14">
        <f>0+1.1*0.14</f>
        <v>0.15400000000000003</v>
      </c>
      <c r="J12" s="15">
        <f>65*0.15+48.3*0.14</f>
        <v>16.512</v>
      </c>
    </row>
    <row r="13" spans="1:12" ht="15.75" thickBot="1" x14ac:dyDescent="0.3">
      <c r="A13" s="53"/>
      <c r="B13" s="9" t="s">
        <v>18</v>
      </c>
      <c r="C13" s="10" t="s">
        <v>19</v>
      </c>
      <c r="D13" s="10" t="s">
        <v>20</v>
      </c>
      <c r="E13" s="17" t="s">
        <v>34</v>
      </c>
      <c r="F13" s="18">
        <v>2.92</v>
      </c>
      <c r="G13" s="18">
        <v>60</v>
      </c>
      <c r="H13" s="18">
        <v>7.0000000000000007E-2</v>
      </c>
      <c r="I13" s="18">
        <v>0.02</v>
      </c>
      <c r="J13" s="80">
        <v>15</v>
      </c>
      <c r="K13"/>
    </row>
    <row r="14" spans="1:12" ht="16.5" thickBot="1" x14ac:dyDescent="0.3">
      <c r="A14" s="68" t="s">
        <v>15</v>
      </c>
      <c r="B14" s="69"/>
      <c r="C14" s="69"/>
      <c r="D14" s="69"/>
      <c r="E14" s="70"/>
      <c r="F14" s="19">
        <f>SUM(F12:F13)</f>
        <v>7</v>
      </c>
      <c r="G14" s="19">
        <f>SUM(G12:G13)</f>
        <v>129.65800000000002</v>
      </c>
      <c r="H14" s="19">
        <f>SUM(H12:H13)</f>
        <v>1.0680000000000003</v>
      </c>
      <c r="I14" s="19">
        <f>SUM(I12:I13)</f>
        <v>0.17400000000000002</v>
      </c>
      <c r="J14" s="19">
        <f>SUM(J12:J13)</f>
        <v>31.512</v>
      </c>
    </row>
    <row r="15" spans="1:12" x14ac:dyDescent="0.25">
      <c r="A15" s="55" t="s">
        <v>52</v>
      </c>
      <c r="B15" s="20" t="s">
        <v>16</v>
      </c>
      <c r="C15" s="21" t="s">
        <v>54</v>
      </c>
      <c r="D15" s="21" t="s">
        <v>55</v>
      </c>
      <c r="E15" s="13" t="s">
        <v>56</v>
      </c>
      <c r="F15" s="14">
        <v>9.3000000000000007</v>
      </c>
      <c r="G15" s="14">
        <v>148.25</v>
      </c>
      <c r="H15" s="14">
        <v>5.49</v>
      </c>
      <c r="I15" s="14">
        <v>5.27</v>
      </c>
      <c r="J15" s="15">
        <v>16.54</v>
      </c>
    </row>
    <row r="16" spans="1:12" x14ac:dyDescent="0.25">
      <c r="A16" s="56"/>
      <c r="B16" s="7" t="s">
        <v>13</v>
      </c>
      <c r="C16" s="31" t="s">
        <v>59</v>
      </c>
      <c r="D16" s="32" t="s">
        <v>60</v>
      </c>
      <c r="E16" s="16">
        <v>25</v>
      </c>
      <c r="F16" s="6">
        <v>19.16</v>
      </c>
      <c r="G16" s="28">
        <f>129.15*0.5</f>
        <v>64.575000000000003</v>
      </c>
      <c r="H16" s="28">
        <f>17.2*0.5</f>
        <v>8.6</v>
      </c>
      <c r="I16" s="28">
        <f>3.8*0.5</f>
        <v>1.9</v>
      </c>
      <c r="J16" s="29">
        <f>6.6*0.5</f>
        <v>3.3</v>
      </c>
      <c r="K16"/>
    </row>
    <row r="17" spans="1:11" x14ac:dyDescent="0.25">
      <c r="A17" s="56"/>
      <c r="B17" s="7" t="s">
        <v>17</v>
      </c>
      <c r="C17" s="5" t="s">
        <v>57</v>
      </c>
      <c r="D17" s="5" t="s">
        <v>58</v>
      </c>
      <c r="E17" s="16">
        <v>150</v>
      </c>
      <c r="F17" s="6">
        <v>11.36</v>
      </c>
      <c r="G17" s="6">
        <f>1398*0.15</f>
        <v>209.7</v>
      </c>
      <c r="H17" s="6">
        <f>24.34*0.15</f>
        <v>3.6509999999999998</v>
      </c>
      <c r="I17" s="6">
        <f>35.83*0.15</f>
        <v>5.3744999999999994</v>
      </c>
      <c r="J17" s="8">
        <f>244.56*0.15</f>
        <v>36.683999999999997</v>
      </c>
      <c r="K17"/>
    </row>
    <row r="18" spans="1:11" x14ac:dyDescent="0.25">
      <c r="A18" s="56"/>
      <c r="B18" s="7" t="s">
        <v>18</v>
      </c>
      <c r="C18" s="5" t="s">
        <v>19</v>
      </c>
      <c r="D18" s="5" t="s">
        <v>20</v>
      </c>
      <c r="E18" s="16" t="s">
        <v>34</v>
      </c>
      <c r="F18" s="6">
        <v>2.92</v>
      </c>
      <c r="G18" s="6">
        <v>60</v>
      </c>
      <c r="H18" s="6">
        <v>7.0000000000000007E-2</v>
      </c>
      <c r="I18" s="6">
        <v>0.02</v>
      </c>
      <c r="J18" s="8">
        <v>15</v>
      </c>
      <c r="K18"/>
    </row>
    <row r="19" spans="1:11" ht="15.75" thickBot="1" x14ac:dyDescent="0.3">
      <c r="A19" s="56"/>
      <c r="B19" s="9" t="s">
        <v>14</v>
      </c>
      <c r="C19" s="10" t="s">
        <v>32</v>
      </c>
      <c r="D19" s="10" t="s">
        <v>33</v>
      </c>
      <c r="E19" s="17">
        <v>55.5</v>
      </c>
      <c r="F19" s="18">
        <v>2.2599999999999998</v>
      </c>
      <c r="G19" s="18">
        <f>229.7*0.555</f>
        <v>127.48350000000001</v>
      </c>
      <c r="H19" s="11">
        <f>6.7*0.555</f>
        <v>3.7185000000000006</v>
      </c>
      <c r="I19" s="11">
        <f>1.1*0.555</f>
        <v>0.61050000000000015</v>
      </c>
      <c r="J19" s="12">
        <f>48.3*0.555</f>
        <v>26.8065</v>
      </c>
    </row>
    <row r="20" spans="1:11" ht="16.5" thickBot="1" x14ac:dyDescent="0.3">
      <c r="A20" s="71" t="s">
        <v>15</v>
      </c>
      <c r="B20" s="69"/>
      <c r="C20" s="69"/>
      <c r="D20" s="69"/>
      <c r="E20" s="70"/>
      <c r="F20" s="19">
        <f>SUM(F15:F19)</f>
        <v>45</v>
      </c>
      <c r="G20" s="19">
        <f t="shared" ref="G20:J20" si="0">SUM(G15:G19)</f>
        <v>610.00850000000003</v>
      </c>
      <c r="H20" s="19">
        <f t="shared" si="0"/>
        <v>21.529499999999999</v>
      </c>
      <c r="I20" s="19">
        <f t="shared" si="0"/>
        <v>13.174999999999999</v>
      </c>
      <c r="J20" s="19">
        <f t="shared" si="0"/>
        <v>98.330500000000001</v>
      </c>
    </row>
    <row r="21" spans="1:11" x14ac:dyDescent="0.25">
      <c r="A21" s="81" t="s">
        <v>51</v>
      </c>
      <c r="B21" s="20" t="s">
        <v>16</v>
      </c>
      <c r="C21" s="21" t="s">
        <v>54</v>
      </c>
      <c r="D21" s="21" t="s">
        <v>55</v>
      </c>
      <c r="E21" s="13" t="s">
        <v>56</v>
      </c>
      <c r="F21" s="14">
        <v>9.3000000000000007</v>
      </c>
      <c r="G21" s="14">
        <v>148.25</v>
      </c>
      <c r="H21" s="14">
        <v>5.49</v>
      </c>
      <c r="I21" s="14">
        <v>5.27</v>
      </c>
      <c r="J21" s="15">
        <v>16.54</v>
      </c>
    </row>
    <row r="22" spans="1:11" x14ac:dyDescent="0.25">
      <c r="A22" s="82"/>
      <c r="B22" s="7" t="s">
        <v>13</v>
      </c>
      <c r="C22" s="31" t="s">
        <v>59</v>
      </c>
      <c r="D22" s="32" t="s">
        <v>60</v>
      </c>
      <c r="E22" s="16">
        <v>50</v>
      </c>
      <c r="F22" s="6">
        <v>38.32</v>
      </c>
      <c r="G22" s="28">
        <f>129.15*1</f>
        <v>129.15</v>
      </c>
      <c r="H22" s="28">
        <f>17.2*1</f>
        <v>17.2</v>
      </c>
      <c r="I22" s="28">
        <f>3.8*1</f>
        <v>3.8</v>
      </c>
      <c r="J22" s="29">
        <f>6.6*1</f>
        <v>6.6</v>
      </c>
    </row>
    <row r="23" spans="1:11" s="46" customFormat="1" x14ac:dyDescent="0.25">
      <c r="A23" s="82"/>
      <c r="B23" s="7" t="s">
        <v>17</v>
      </c>
      <c r="C23" s="5" t="s">
        <v>57</v>
      </c>
      <c r="D23" s="5" t="s">
        <v>58</v>
      </c>
      <c r="E23" s="16">
        <v>140</v>
      </c>
      <c r="F23" s="6">
        <v>10.6</v>
      </c>
      <c r="G23" s="6">
        <f>1398*0.14</f>
        <v>195.72000000000003</v>
      </c>
      <c r="H23" s="6">
        <f>24.34*0.14</f>
        <v>3.4076000000000004</v>
      </c>
      <c r="I23" s="6">
        <f>35.83*0.14</f>
        <v>5.0162000000000004</v>
      </c>
      <c r="J23" s="8">
        <f>244.56*0.14</f>
        <v>34.238400000000006</v>
      </c>
    </row>
    <row r="24" spans="1:11" x14ac:dyDescent="0.25">
      <c r="A24" s="82"/>
      <c r="B24" s="7" t="s">
        <v>42</v>
      </c>
      <c r="C24" s="31" t="s">
        <v>65</v>
      </c>
      <c r="D24" s="32" t="s">
        <v>66</v>
      </c>
      <c r="E24" s="16">
        <v>200</v>
      </c>
      <c r="F24" s="6">
        <v>10.039999999999999</v>
      </c>
      <c r="G24" s="6">
        <v>111</v>
      </c>
      <c r="H24" s="26">
        <v>0.7</v>
      </c>
      <c r="I24" s="26">
        <v>0</v>
      </c>
      <c r="J24" s="27">
        <v>27</v>
      </c>
      <c r="K24"/>
    </row>
    <row r="25" spans="1:11" ht="15.75" thickBot="1" x14ac:dyDescent="0.3">
      <c r="A25" s="83"/>
      <c r="B25" s="9" t="s">
        <v>14</v>
      </c>
      <c r="C25" s="10" t="s">
        <v>32</v>
      </c>
      <c r="D25" s="10" t="s">
        <v>33</v>
      </c>
      <c r="E25" s="17">
        <v>30.5</v>
      </c>
      <c r="F25" s="18">
        <v>1.24</v>
      </c>
      <c r="G25" s="18">
        <f>229.7*0.305</f>
        <v>70.058499999999995</v>
      </c>
      <c r="H25" s="11">
        <f>6.7*0.305</f>
        <v>2.0434999999999999</v>
      </c>
      <c r="I25" s="11">
        <f>1.1*0.305</f>
        <v>0.33550000000000002</v>
      </c>
      <c r="J25" s="12">
        <f>48.3*0.305</f>
        <v>14.731499999999999</v>
      </c>
      <c r="K25"/>
    </row>
    <row r="26" spans="1:11" ht="16.5" thickBot="1" x14ac:dyDescent="0.3">
      <c r="A26" s="57" t="s">
        <v>15</v>
      </c>
      <c r="B26" s="73"/>
      <c r="C26" s="73"/>
      <c r="D26" s="73"/>
      <c r="E26" s="74"/>
      <c r="F26" s="50">
        <f>SUM(F21:F25)</f>
        <v>69.5</v>
      </c>
      <c r="G26" s="50">
        <f>SUM(G21:G25)</f>
        <v>654.17849999999999</v>
      </c>
      <c r="H26" s="50">
        <f>SUM(H21:H25)</f>
        <v>28.841099999999997</v>
      </c>
      <c r="I26" s="50">
        <f>SUM(I21:I25)</f>
        <v>14.421700000000001</v>
      </c>
      <c r="J26" s="51">
        <f>SUM(J21:J25)</f>
        <v>99.109899999999996</v>
      </c>
      <c r="K26"/>
    </row>
    <row r="28" spans="1:11" ht="15.75" thickBot="1" x14ac:dyDescent="0.3">
      <c r="A28" s="66" t="s">
        <v>25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1" ht="15.75" x14ac:dyDescent="0.25">
      <c r="A29" s="23"/>
      <c r="B29" s="23"/>
      <c r="C29" s="65" t="s">
        <v>23</v>
      </c>
      <c r="D29" s="65"/>
      <c r="G29" s="67"/>
      <c r="H29" s="67"/>
      <c r="I29" s="67"/>
      <c r="J29" s="67"/>
    </row>
    <row r="30" spans="1:11" x14ac:dyDescent="0.25">
      <c r="A30" s="1"/>
      <c r="B30" s="1"/>
      <c r="C30" s="1"/>
      <c r="D30" s="1"/>
    </row>
    <row r="31" spans="1:11" x14ac:dyDescent="0.25">
      <c r="A31" s="52" t="s">
        <v>24</v>
      </c>
      <c r="B31" s="52"/>
    </row>
    <row r="32" spans="1:11" x14ac:dyDescent="0.25">
      <c r="A32" s="52" t="s">
        <v>26</v>
      </c>
      <c r="B32" s="52"/>
    </row>
    <row r="33" spans="1:1" x14ac:dyDescent="0.25">
      <c r="A33" s="40"/>
    </row>
    <row r="37" spans="1:1" customFormat="1" x14ac:dyDescent="0.25"/>
    <row r="38" spans="1:1" customFormat="1" x14ac:dyDescent="0.25"/>
    <row r="39" spans="1:1" customFormat="1" x14ac:dyDescent="0.25"/>
    <row r="40" spans="1:1" customFormat="1" x14ac:dyDescent="0.25"/>
  </sheetData>
  <mergeCells count="17">
    <mergeCell ref="A31:B31"/>
    <mergeCell ref="A32:B32"/>
    <mergeCell ref="A8:A10"/>
    <mergeCell ref="A11:E11"/>
    <mergeCell ref="A12:A13"/>
    <mergeCell ref="A14:E14"/>
    <mergeCell ref="A21:A25"/>
    <mergeCell ref="A26:E26"/>
    <mergeCell ref="A28:J28"/>
    <mergeCell ref="C29:D29"/>
    <mergeCell ref="G29:J29"/>
    <mergeCell ref="A20:E20"/>
    <mergeCell ref="B1:C1"/>
    <mergeCell ref="G1:J1"/>
    <mergeCell ref="A3:A6"/>
    <mergeCell ref="A7:E7"/>
    <mergeCell ref="A15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10.02 1-4 кл</vt:lpstr>
      <vt:lpstr>10.02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2022-02-08T12:24:05Z</dcterms:modified>
</cp:coreProperties>
</file>