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7.02 1-4 кл" sheetId="1" r:id="rId1"/>
    <sheet name="17.0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J26" i="2"/>
  <c r="I26" i="2"/>
  <c r="H26" i="2"/>
  <c r="G26" i="2"/>
  <c r="J28" i="2"/>
  <c r="I28" i="2"/>
  <c r="H28" i="2"/>
  <c r="G28" i="2"/>
  <c r="J25" i="2"/>
  <c r="I25" i="2"/>
  <c r="H25" i="2"/>
  <c r="G25" i="2"/>
  <c r="J24" i="2"/>
  <c r="I24" i="2"/>
  <c r="H24" i="2"/>
  <c r="G24" i="2"/>
  <c r="J22" i="2"/>
  <c r="I22" i="2"/>
  <c r="H22" i="2"/>
  <c r="G22" i="2"/>
  <c r="J20" i="2"/>
  <c r="I20" i="2"/>
  <c r="H20" i="2"/>
  <c r="G20" i="2"/>
  <c r="J19" i="2"/>
  <c r="I19" i="2"/>
  <c r="H19" i="2"/>
  <c r="G19" i="2"/>
  <c r="J18" i="2"/>
  <c r="I18" i="2"/>
  <c r="H18" i="2"/>
  <c r="G18" i="2"/>
  <c r="J15" i="2"/>
  <c r="I15" i="2"/>
  <c r="H15" i="2"/>
  <c r="G15" i="2"/>
  <c r="J13" i="2" l="1"/>
  <c r="I13" i="2"/>
  <c r="H13" i="2"/>
  <c r="G13" i="2"/>
  <c r="J8" i="2"/>
  <c r="I8" i="2"/>
  <c r="H8" i="2"/>
  <c r="G8" i="2"/>
  <c r="J5" i="2"/>
  <c r="I5" i="2"/>
  <c r="H5" i="2"/>
  <c r="G5" i="2"/>
  <c r="J3" i="2"/>
  <c r="I3" i="2"/>
  <c r="H3" i="2"/>
  <c r="G3" i="2"/>
  <c r="J4" i="2"/>
  <c r="I4" i="2"/>
  <c r="H4" i="2"/>
  <c r="G4" i="2"/>
  <c r="J21" i="1" l="1"/>
  <c r="I21" i="1"/>
  <c r="H21" i="1"/>
  <c r="G21" i="1"/>
  <c r="H20" i="1"/>
  <c r="J20" i="1" l="1"/>
  <c r="I20" i="1"/>
  <c r="G20" i="1"/>
  <c r="J18" i="1" l="1"/>
  <c r="I18" i="1"/>
  <c r="H18" i="1"/>
  <c r="G18" i="1"/>
  <c r="J17" i="1"/>
  <c r="I17" i="1"/>
  <c r="H17" i="1"/>
  <c r="G17" i="1"/>
  <c r="J14" i="1"/>
  <c r="I14" i="1"/>
  <c r="H14" i="1"/>
  <c r="G14" i="1"/>
  <c r="J12" i="1"/>
  <c r="I12" i="1"/>
  <c r="H12" i="1"/>
  <c r="G12" i="1"/>
  <c r="J11" i="1" l="1"/>
  <c r="I11" i="1"/>
  <c r="H11" i="1"/>
  <c r="G11" i="1"/>
  <c r="J8" i="1" l="1"/>
  <c r="I8" i="1"/>
  <c r="H8" i="1"/>
  <c r="G8" i="1"/>
  <c r="J3" i="1" l="1"/>
  <c r="I3" i="1"/>
  <c r="H3" i="1"/>
  <c r="G3" i="1"/>
  <c r="J4" i="1"/>
  <c r="I4" i="1"/>
  <c r="H4" i="1"/>
  <c r="G4" i="1"/>
  <c r="J10" i="2" l="1"/>
  <c r="I10" i="2"/>
  <c r="H10" i="2"/>
  <c r="G10" i="2"/>
  <c r="J5" i="1" l="1"/>
  <c r="I5" i="1"/>
  <c r="H5" i="1"/>
  <c r="G5" i="1"/>
  <c r="F14" i="2" l="1"/>
  <c r="G30" i="2"/>
  <c r="H30" i="2"/>
  <c r="I30" i="2"/>
  <c r="J30" i="2"/>
  <c r="F30" i="2"/>
  <c r="G23" i="2"/>
  <c r="H23" i="2"/>
  <c r="I23" i="2"/>
  <c r="J23" i="2"/>
  <c r="F23" i="2"/>
  <c r="G25" i="1" l="1"/>
  <c r="H25" i="1"/>
  <c r="I25" i="1"/>
  <c r="J25" i="1"/>
  <c r="F25" i="1"/>
  <c r="J11" i="2"/>
  <c r="J14" i="2" s="1"/>
  <c r="I11" i="2"/>
  <c r="I14" i="2" s="1"/>
  <c r="H11" i="2"/>
  <c r="H14" i="2" s="1"/>
  <c r="G11" i="2"/>
  <c r="G14" i="2" s="1"/>
  <c r="J16" i="1" l="1"/>
  <c r="I16" i="1"/>
  <c r="H16" i="1"/>
  <c r="G16" i="1"/>
  <c r="F15" i="1"/>
  <c r="J10" i="1"/>
  <c r="J15" i="1" s="1"/>
  <c r="I10" i="1"/>
  <c r="I15" i="1" s="1"/>
  <c r="H10" i="1"/>
  <c r="H15" i="1" s="1"/>
  <c r="G10" i="1"/>
  <c r="G15" i="1" s="1"/>
  <c r="F9" i="1" l="1"/>
  <c r="G9" i="1"/>
  <c r="J9" i="1"/>
  <c r="I9" i="1"/>
  <c r="H9" i="1"/>
  <c r="G17" i="2" l="1"/>
  <c r="H17" i="2"/>
  <c r="I17" i="2"/>
  <c r="J17" i="2"/>
  <c r="F17" i="2"/>
  <c r="F9" i="2" l="1"/>
  <c r="J9" i="2"/>
  <c r="I9" i="2"/>
  <c r="H9" i="2"/>
  <c r="G9" i="2"/>
  <c r="F22" i="1" l="1"/>
  <c r="J22" i="1" l="1"/>
  <c r="I22" i="1"/>
  <c r="H22" i="1"/>
  <c r="G22" i="1"/>
</calcChain>
</file>

<file path=xl/sharedStrings.xml><?xml version="1.0" encoding="utf-8"?>
<sst xmlns="http://schemas.openxmlformats.org/spreadsheetml/2006/main" count="197" uniqueCount="70">
  <si>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</si>
  <si>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</si>
  <si>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</si>
  <si>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</si>
  <si>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</si>
  <si>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</si>
  <si>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</si>
  <si>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</si>
  <si>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</si>
  <si>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</si>
  <si>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</si>
  <si>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</si>
  <si>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</si>
  <si>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</si>
  <si>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</si>
  <si>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</si>
  <si>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</si>
  <si>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</si>
  <si>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</si>
  <si>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</si>
  <si>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</si>
  <si>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</si>
  <si>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</si>
  <si>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</si>
  <si>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</si>
  <si>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</si>
  <si>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</si>
  <si>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</si>
  <si>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>Полдник дети-инвалиды 3-4 кл 2 смена</t>
  </si>
  <si>
    <t>Закуска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</si>
  <si>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</si>
  <si>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</si>
  <si>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</si>
  <si>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</si>
  <si>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</si>
  <si>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</si>
  <si>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</si>
  <si>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</si>
  <si>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Пюре картофельное</t>
  </si>
  <si>
    <t>№312-2015г.</t>
  </si>
  <si>
    <t>30/30</t>
  </si>
  <si>
    <t>Напиток</t>
  </si>
  <si>
    <t>№102-2015г.</t>
  </si>
  <si>
    <t>Суп картофельный с горохом с зеленью</t>
  </si>
  <si>
    <t>№260-2015г.</t>
  </si>
  <si>
    <t>Обед 3-4 кл дети-инвалиды 2 смена, ГПД</t>
  </si>
  <si>
    <t>ТТК №5</t>
  </si>
  <si>
    <t xml:space="preserve">Обед 1-2 кл дети-инвалиды 1 смена </t>
  </si>
  <si>
    <t>250/2</t>
  </si>
  <si>
    <t>Молочный коктейль "Авишка" 2,5 %</t>
  </si>
  <si>
    <t>ТТК №16</t>
  </si>
  <si>
    <t>Филе минтая запечёное</t>
  </si>
  <si>
    <t>№45-2015г.</t>
  </si>
  <si>
    <t>Салат из белокочанной капусты с морковью</t>
  </si>
  <si>
    <t>№425-2015г.</t>
  </si>
  <si>
    <t>Булочка дорожная</t>
  </si>
  <si>
    <t>Кондитерское изделие</t>
  </si>
  <si>
    <t>Печенье "Лимонное"</t>
  </si>
  <si>
    <t>№686-2004г.</t>
  </si>
  <si>
    <t>Чай с лимоном</t>
  </si>
  <si>
    <t>200/15/7</t>
  </si>
  <si>
    <t>14/14</t>
  </si>
  <si>
    <t>Гуляш из говядины</t>
  </si>
  <si>
    <t>№302-2015г.</t>
  </si>
  <si>
    <t>Каша рассыпчатая гречневая</t>
  </si>
  <si>
    <t>№406-2015г.</t>
  </si>
  <si>
    <t>Пирожок печёный из дрожжевого теста с повидлом</t>
  </si>
  <si>
    <t>№1-2015г.</t>
  </si>
  <si>
    <t>Бутерброд с маслом</t>
  </si>
  <si>
    <t>4/18,5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</si>
</sst>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0" xfId="0" applyFont="1"/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" fillId="0" borderId="0" xfId="0" applyFont="1"/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vertical="center" wrapText="1"/>
    </xf>
    <xf numFmtId="2" fontId="1" fillId="0" borderId="30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3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vertical="center" wrapText="1"/>
    </xf>
    <xf numFmtId="0" fontId="1" fillId="0" borderId="0" xfId="0" applyFont="1"/>
    <xf numFmtId="0" fontId="1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workbookViewId="0">
      <selection activeCell="B16" sqref="B16:J21"/>
    </sheetView>
  </sheetViews>
  <sheetFormatPr defaultRowHeight="15" x14ac:dyDescent="0.25"/>
  <cols>
    <col min="1" max="1" width="22.7109375" style="2" customWidth="1"/>
    <col min="2" max="2" width="22" style="2" customWidth="1"/>
    <col min="3" max="3" width="12.28515625" style="2" customWidth="1"/>
    <col min="4" max="4" width="48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0" t="s">
        <v>22</v>
      </c>
      <c r="C1" s="71"/>
      <c r="D1" s="1" t="s">
        <v>1</v>
      </c>
      <c r="E1" s="34"/>
      <c r="F1" s="1" t="s">
        <v>2</v>
      </c>
      <c r="G1" s="72">
        <v>44609</v>
      </c>
      <c r="H1" s="73"/>
      <c r="I1" s="73"/>
      <c r="J1" s="74"/>
      <c r="K1" s="1"/>
      <c r="L1" s="1"/>
    </row>
    <row r="2" spans="1:12" ht="15.75" thickBot="1" x14ac:dyDescent="0.3">
      <c r="A2" s="55" t="s">
        <v>3</v>
      </c>
      <c r="B2" s="4" t="s">
        <v>4</v>
      </c>
      <c r="C2" s="56" t="s">
        <v>5</v>
      </c>
      <c r="D2" s="55" t="s">
        <v>6</v>
      </c>
      <c r="E2" s="55" t="s">
        <v>7</v>
      </c>
      <c r="F2" s="55" t="s">
        <v>8</v>
      </c>
      <c r="G2" s="55" t="s">
        <v>9</v>
      </c>
      <c r="H2" s="55" t="s">
        <v>10</v>
      </c>
      <c r="I2" s="55" t="s">
        <v>11</v>
      </c>
      <c r="J2" s="55" t="s">
        <v>12</v>
      </c>
    </row>
    <row r="3" spans="1:12" s="48" customFormat="1" x14ac:dyDescent="0.25">
      <c r="A3" s="62" t="s">
        <v>27</v>
      </c>
      <c r="B3" s="13" t="s">
        <v>29</v>
      </c>
      <c r="C3" s="14" t="s">
        <v>52</v>
      </c>
      <c r="D3" s="23" t="s">
        <v>53</v>
      </c>
      <c r="E3" s="15">
        <v>60</v>
      </c>
      <c r="F3" s="15">
        <v>7.18</v>
      </c>
      <c r="G3" s="28">
        <f>604*0.06</f>
        <v>36.24</v>
      </c>
      <c r="H3" s="28">
        <f>13.12*0.06</f>
        <v>0.7871999999999999</v>
      </c>
      <c r="I3" s="28">
        <f>32.49*0.06</f>
        <v>1.9494</v>
      </c>
      <c r="J3" s="29">
        <f>64.66*0.06</f>
        <v>3.8795999999999995</v>
      </c>
    </row>
    <row r="4" spans="1:12" s="49" customFormat="1" x14ac:dyDescent="0.25">
      <c r="A4" s="62"/>
      <c r="B4" s="7" t="s">
        <v>13</v>
      </c>
      <c r="C4" s="46" t="s">
        <v>50</v>
      </c>
      <c r="D4" s="45" t="s">
        <v>51</v>
      </c>
      <c r="E4" s="18">
        <v>50</v>
      </c>
      <c r="F4" s="6">
        <v>39.6</v>
      </c>
      <c r="G4" s="33">
        <f>71/50*50</f>
        <v>71</v>
      </c>
      <c r="H4" s="33">
        <f>8.8/50*50</f>
        <v>8.8000000000000007</v>
      </c>
      <c r="I4" s="33">
        <f>3.1/50*50</f>
        <v>3.1</v>
      </c>
      <c r="J4" s="33">
        <f>1.9/50*50</f>
        <v>1.9</v>
      </c>
      <c r="K4"/>
    </row>
    <row r="5" spans="1:12" s="49" customFormat="1" x14ac:dyDescent="0.25">
      <c r="A5" s="62"/>
      <c r="B5" s="7" t="s">
        <v>17</v>
      </c>
      <c r="C5" s="46" t="s">
        <v>39</v>
      </c>
      <c r="D5" s="47" t="s">
        <v>38</v>
      </c>
      <c r="E5" s="18">
        <v>150</v>
      </c>
      <c r="F5" s="6">
        <v>19.149999999999999</v>
      </c>
      <c r="G5" s="31">
        <f>915*0.15</f>
        <v>137.25</v>
      </c>
      <c r="H5" s="31">
        <f>20.43*0.15</f>
        <v>3.0644999999999998</v>
      </c>
      <c r="I5" s="31">
        <f>32.01*0.15</f>
        <v>4.8014999999999999</v>
      </c>
      <c r="J5" s="32">
        <f>136.26*0.15</f>
        <v>20.438999999999997</v>
      </c>
      <c r="K5"/>
    </row>
    <row r="6" spans="1:12" s="58" customFormat="1" x14ac:dyDescent="0.25">
      <c r="A6" s="62"/>
      <c r="B6" s="7" t="s">
        <v>18</v>
      </c>
      <c r="C6" s="5" t="s">
        <v>58</v>
      </c>
      <c r="D6" s="5" t="s">
        <v>59</v>
      </c>
      <c r="E6" s="18" t="s">
        <v>60</v>
      </c>
      <c r="F6" s="6">
        <v>4.24</v>
      </c>
      <c r="G6" s="6">
        <v>62</v>
      </c>
      <c r="H6" s="6">
        <v>0.13</v>
      </c>
      <c r="I6" s="6">
        <v>0.02</v>
      </c>
      <c r="J6" s="8">
        <v>15.2</v>
      </c>
      <c r="K6"/>
    </row>
    <row r="7" spans="1:12" s="54" customFormat="1" x14ac:dyDescent="0.25">
      <c r="A7" s="62"/>
      <c r="B7" s="7" t="s">
        <v>21</v>
      </c>
      <c r="C7" s="5" t="s">
        <v>54</v>
      </c>
      <c r="D7" s="5" t="s">
        <v>55</v>
      </c>
      <c r="E7" s="18">
        <v>50</v>
      </c>
      <c r="F7" s="6">
        <v>3.61</v>
      </c>
      <c r="G7" s="33">
        <v>160.5</v>
      </c>
      <c r="H7" s="33">
        <v>3.39</v>
      </c>
      <c r="I7" s="33">
        <v>6.98</v>
      </c>
      <c r="J7" s="38">
        <v>21.07</v>
      </c>
      <c r="K7"/>
    </row>
    <row r="8" spans="1:12" ht="15.75" thickBot="1" x14ac:dyDescent="0.3">
      <c r="A8" s="63"/>
      <c r="B8" s="9" t="s">
        <v>14</v>
      </c>
      <c r="C8" s="10" t="s">
        <v>46</v>
      </c>
      <c r="D8" s="10" t="s">
        <v>30</v>
      </c>
      <c r="E8" s="19">
        <v>23.5</v>
      </c>
      <c r="F8" s="20">
        <v>0.95</v>
      </c>
      <c r="G8" s="20">
        <f>229.7*0.235</f>
        <v>53.979499999999994</v>
      </c>
      <c r="H8" s="11">
        <f>6.7*0.235</f>
        <v>1.5745</v>
      </c>
      <c r="I8" s="11">
        <f>1.1*0.235</f>
        <v>0.25850000000000001</v>
      </c>
      <c r="J8" s="12">
        <f>48.3*0.235</f>
        <v>11.350499999999998</v>
      </c>
      <c r="K8"/>
    </row>
    <row r="9" spans="1:12" ht="16.5" thickBot="1" x14ac:dyDescent="0.3">
      <c r="A9" s="66" t="s">
        <v>15</v>
      </c>
      <c r="B9" s="78"/>
      <c r="C9" s="78"/>
      <c r="D9" s="78"/>
      <c r="E9" s="79"/>
      <c r="F9" s="21">
        <f>SUM(F3:F8)</f>
        <v>74.73</v>
      </c>
      <c r="G9" s="21">
        <f t="shared" ref="G9:J9" si="0">SUM(G3:G8)</f>
        <v>520.96950000000004</v>
      </c>
      <c r="H9" s="21">
        <f t="shared" si="0"/>
        <v>17.746200000000002</v>
      </c>
      <c r="I9" s="21">
        <f t="shared" si="0"/>
        <v>17.109400000000001</v>
      </c>
      <c r="J9" s="21">
        <f t="shared" si="0"/>
        <v>73.839100000000002</v>
      </c>
    </row>
    <row r="10" spans="1:12" s="48" customFormat="1" x14ac:dyDescent="0.25">
      <c r="A10" s="64" t="s">
        <v>47</v>
      </c>
      <c r="B10" s="22" t="s">
        <v>16</v>
      </c>
      <c r="C10" s="23" t="s">
        <v>42</v>
      </c>
      <c r="D10" s="23" t="s">
        <v>43</v>
      </c>
      <c r="E10" s="15" t="s">
        <v>48</v>
      </c>
      <c r="F10" s="16">
        <v>9.6999999999999993</v>
      </c>
      <c r="G10" s="16">
        <f>593*0.25</f>
        <v>148.25</v>
      </c>
      <c r="H10" s="16">
        <f>21.96*0.25</f>
        <v>5.49</v>
      </c>
      <c r="I10" s="16">
        <f>21.08*0.25</f>
        <v>5.27</v>
      </c>
      <c r="J10" s="17">
        <f>66.14*0.25</f>
        <v>16.535</v>
      </c>
    </row>
    <row r="11" spans="1:12" s="48" customFormat="1" x14ac:dyDescent="0.25">
      <c r="A11" s="65"/>
      <c r="B11" s="7" t="s">
        <v>13</v>
      </c>
      <c r="C11" s="5" t="s">
        <v>44</v>
      </c>
      <c r="D11" s="45" t="s">
        <v>62</v>
      </c>
      <c r="E11" s="18" t="s">
        <v>61</v>
      </c>
      <c r="F11" s="6">
        <v>19.43</v>
      </c>
      <c r="G11" s="33">
        <f>221*0.28</f>
        <v>61.88</v>
      </c>
      <c r="H11" s="33">
        <f>14.55*0.28</f>
        <v>4.0740000000000007</v>
      </c>
      <c r="I11" s="33">
        <f>16.79*0.28</f>
        <v>4.7012</v>
      </c>
      <c r="J11" s="38">
        <f>2.89*0.28</f>
        <v>0.80920000000000014</v>
      </c>
      <c r="K11"/>
    </row>
    <row r="12" spans="1:12" s="49" customFormat="1" x14ac:dyDescent="0.25">
      <c r="A12" s="65"/>
      <c r="B12" s="7" t="s">
        <v>17</v>
      </c>
      <c r="C12" s="5" t="s">
        <v>63</v>
      </c>
      <c r="D12" s="5" t="s">
        <v>64</v>
      </c>
      <c r="E12" s="18">
        <v>100</v>
      </c>
      <c r="F12" s="6">
        <v>11.33</v>
      </c>
      <c r="G12" s="31">
        <f>1625*0.1</f>
        <v>162.5</v>
      </c>
      <c r="H12" s="31">
        <f>57.32*0.1</f>
        <v>5.7320000000000002</v>
      </c>
      <c r="I12" s="31">
        <f>40.62*0.1</f>
        <v>4.0620000000000003</v>
      </c>
      <c r="J12" s="32">
        <f>257.61*0.1</f>
        <v>25.761000000000003</v>
      </c>
    </row>
    <row r="13" spans="1:12" x14ac:dyDescent="0.25">
      <c r="A13" s="65"/>
      <c r="B13" s="7" t="s">
        <v>18</v>
      </c>
      <c r="C13" s="5" t="s">
        <v>19</v>
      </c>
      <c r="D13" s="5" t="s">
        <v>20</v>
      </c>
      <c r="E13" s="18" t="s">
        <v>31</v>
      </c>
      <c r="F13" s="6">
        <v>2.92</v>
      </c>
      <c r="G13" s="6">
        <v>60</v>
      </c>
      <c r="H13" s="6">
        <v>7.0000000000000007E-2</v>
      </c>
      <c r="I13" s="6">
        <v>0.02</v>
      </c>
      <c r="J13" s="8">
        <v>15</v>
      </c>
      <c r="K13"/>
    </row>
    <row r="14" spans="1:12" ht="15.75" thickBot="1" x14ac:dyDescent="0.3">
      <c r="A14" s="65"/>
      <c r="B14" s="9" t="s">
        <v>14</v>
      </c>
      <c r="C14" s="10" t="s">
        <v>46</v>
      </c>
      <c r="D14" s="10" t="s">
        <v>30</v>
      </c>
      <c r="E14" s="19">
        <v>28</v>
      </c>
      <c r="F14" s="20">
        <v>1.1499999999999999</v>
      </c>
      <c r="G14" s="20">
        <f>229.7*0.28</f>
        <v>64.316000000000003</v>
      </c>
      <c r="H14" s="11">
        <f>6.7*0.28</f>
        <v>1.8760000000000003</v>
      </c>
      <c r="I14" s="11">
        <f>1.1*0.28</f>
        <v>0.30800000000000005</v>
      </c>
      <c r="J14" s="12">
        <f>48.3*0.28</f>
        <v>13.524000000000001</v>
      </c>
    </row>
    <row r="15" spans="1:12" ht="16.5" thickBot="1" x14ac:dyDescent="0.3">
      <c r="A15" s="66" t="s">
        <v>15</v>
      </c>
      <c r="B15" s="78"/>
      <c r="C15" s="78"/>
      <c r="D15" s="78"/>
      <c r="E15" s="79"/>
      <c r="F15" s="21">
        <f>SUM(F10:F14)</f>
        <v>44.53</v>
      </c>
      <c r="G15" s="21">
        <f t="shared" ref="G15:J15" si="1">SUM(G10:G14)</f>
        <v>496.94600000000003</v>
      </c>
      <c r="H15" s="21">
        <f t="shared" si="1"/>
        <v>17.242000000000001</v>
      </c>
      <c r="I15" s="21">
        <f t="shared" si="1"/>
        <v>14.3612</v>
      </c>
      <c r="J15" s="21">
        <f t="shared" si="1"/>
        <v>71.629199999999997</v>
      </c>
    </row>
    <row r="16" spans="1:12" s="49" customFormat="1" x14ac:dyDescent="0.25">
      <c r="A16" s="69" t="s">
        <v>45</v>
      </c>
      <c r="B16" s="22" t="s">
        <v>16</v>
      </c>
      <c r="C16" s="23" t="s">
        <v>42</v>
      </c>
      <c r="D16" s="23" t="s">
        <v>43</v>
      </c>
      <c r="E16" s="15" t="s">
        <v>48</v>
      </c>
      <c r="F16" s="16">
        <v>9.6999999999999993</v>
      </c>
      <c r="G16" s="16">
        <f>593*0.25</f>
        <v>148.25</v>
      </c>
      <c r="H16" s="16">
        <f>21.96*0.25</f>
        <v>5.49</v>
      </c>
      <c r="I16" s="16">
        <f>21.08*0.25</f>
        <v>5.27</v>
      </c>
      <c r="J16" s="17">
        <f>66.14*0.25</f>
        <v>16.535</v>
      </c>
    </row>
    <row r="17" spans="1:11" s="30" customFormat="1" x14ac:dyDescent="0.25">
      <c r="A17" s="62"/>
      <c r="B17" s="7" t="s">
        <v>13</v>
      </c>
      <c r="C17" s="5" t="s">
        <v>44</v>
      </c>
      <c r="D17" s="45" t="s">
        <v>62</v>
      </c>
      <c r="E17" s="18" t="s">
        <v>40</v>
      </c>
      <c r="F17" s="6">
        <v>41.63</v>
      </c>
      <c r="G17" s="33">
        <f>221*0.6</f>
        <v>132.6</v>
      </c>
      <c r="H17" s="33">
        <f>14.55*0.6</f>
        <v>8.73</v>
      </c>
      <c r="I17" s="33">
        <f>16.79*0.6</f>
        <v>10.074</v>
      </c>
      <c r="J17" s="38">
        <f>2.89*0.6</f>
        <v>1.734</v>
      </c>
      <c r="K17"/>
    </row>
    <row r="18" spans="1:11" s="54" customFormat="1" x14ac:dyDescent="0.25">
      <c r="A18" s="62"/>
      <c r="B18" s="7" t="s">
        <v>17</v>
      </c>
      <c r="C18" s="5" t="s">
        <v>63</v>
      </c>
      <c r="D18" s="5" t="s">
        <v>64</v>
      </c>
      <c r="E18" s="18">
        <v>140</v>
      </c>
      <c r="F18" s="6">
        <v>15.86</v>
      </c>
      <c r="G18" s="31">
        <f>1625*0.14</f>
        <v>227.50000000000003</v>
      </c>
      <c r="H18" s="31">
        <f>57.32*0.14</f>
        <v>8.0248000000000008</v>
      </c>
      <c r="I18" s="31">
        <f>40.62*0.14</f>
        <v>5.6867999999999999</v>
      </c>
      <c r="J18" s="32">
        <f>257.61*0.14</f>
        <v>36.065400000000004</v>
      </c>
    </row>
    <row r="19" spans="1:11" s="50" customFormat="1" x14ac:dyDescent="0.25">
      <c r="A19" s="62"/>
      <c r="B19" s="7" t="s">
        <v>18</v>
      </c>
      <c r="C19" s="5" t="s">
        <v>19</v>
      </c>
      <c r="D19" s="5" t="s">
        <v>20</v>
      </c>
      <c r="E19" s="18" t="s">
        <v>31</v>
      </c>
      <c r="F19" s="6">
        <v>2.92</v>
      </c>
      <c r="G19" s="6">
        <v>60</v>
      </c>
      <c r="H19" s="6">
        <v>7.0000000000000007E-2</v>
      </c>
      <c r="I19" s="6">
        <v>0.02</v>
      </c>
      <c r="J19" s="8">
        <v>15</v>
      </c>
      <c r="K19"/>
    </row>
    <row r="20" spans="1:11" s="48" customFormat="1" x14ac:dyDescent="0.25">
      <c r="A20" s="62"/>
      <c r="B20" s="7" t="s">
        <v>56</v>
      </c>
      <c r="C20" s="5" t="s">
        <v>37</v>
      </c>
      <c r="D20" s="5" t="s">
        <v>57</v>
      </c>
      <c r="E20" s="18">
        <v>14</v>
      </c>
      <c r="F20" s="6">
        <v>3.12</v>
      </c>
      <c r="G20" s="33">
        <f>480*0.14</f>
        <v>67.2</v>
      </c>
      <c r="H20" s="33">
        <f>8.5*0.14</f>
        <v>1.1900000000000002</v>
      </c>
      <c r="I20" s="33">
        <f>18*0.14</f>
        <v>2.5200000000000005</v>
      </c>
      <c r="J20" s="38">
        <f>70*0.14</f>
        <v>9.8000000000000007</v>
      </c>
      <c r="K20"/>
    </row>
    <row r="21" spans="1:11" ht="15.75" thickBot="1" x14ac:dyDescent="0.3">
      <c r="A21" s="63"/>
      <c r="B21" s="39" t="s">
        <v>14</v>
      </c>
      <c r="C21" s="40" t="s">
        <v>46</v>
      </c>
      <c r="D21" s="40" t="s">
        <v>30</v>
      </c>
      <c r="E21" s="41">
        <v>36.5</v>
      </c>
      <c r="F21" s="42">
        <v>1.5</v>
      </c>
      <c r="G21" s="42">
        <f>229.7*0.365</f>
        <v>83.840499999999992</v>
      </c>
      <c r="H21" s="43">
        <f>6.7*0.365</f>
        <v>2.4455</v>
      </c>
      <c r="I21" s="43">
        <f>1.1*0.365</f>
        <v>0.40150000000000002</v>
      </c>
      <c r="J21" s="44">
        <f>48.3*0.365</f>
        <v>17.6295</v>
      </c>
      <c r="K21"/>
    </row>
    <row r="22" spans="1:11" ht="16.5" thickBot="1" x14ac:dyDescent="0.3">
      <c r="A22" s="80" t="s">
        <v>15</v>
      </c>
      <c r="B22" s="78"/>
      <c r="C22" s="78"/>
      <c r="D22" s="78"/>
      <c r="E22" s="79"/>
      <c r="F22" s="21">
        <f>SUM(F16:F21)</f>
        <v>74.73</v>
      </c>
      <c r="G22" s="21">
        <f>SUM(G16:G21)</f>
        <v>719.39050000000009</v>
      </c>
      <c r="H22" s="21">
        <f>SUM(H16:H21)</f>
        <v>25.950300000000002</v>
      </c>
      <c r="I22" s="21">
        <f>SUM(I16:I21)</f>
        <v>23.972299999999997</v>
      </c>
      <c r="J22" s="21">
        <f>SUM(J16:J21)</f>
        <v>96.763900000000007</v>
      </c>
      <c r="K22"/>
    </row>
    <row r="23" spans="1:11" x14ac:dyDescent="0.25">
      <c r="A23" s="64" t="s">
        <v>28</v>
      </c>
      <c r="B23" s="22" t="s">
        <v>41</v>
      </c>
      <c r="C23" s="23" t="s">
        <v>37</v>
      </c>
      <c r="D23" s="23" t="s">
        <v>49</v>
      </c>
      <c r="E23" s="59">
        <v>200</v>
      </c>
      <c r="F23" s="25">
        <v>37.24</v>
      </c>
      <c r="G23" s="28">
        <v>160</v>
      </c>
      <c r="H23" s="16">
        <v>6.2</v>
      </c>
      <c r="I23" s="16">
        <v>5</v>
      </c>
      <c r="J23" s="17">
        <v>22</v>
      </c>
      <c r="K23"/>
    </row>
    <row r="24" spans="1:11" s="50" customFormat="1" ht="30.75" thickBot="1" x14ac:dyDescent="0.3">
      <c r="A24" s="65"/>
      <c r="B24" s="9" t="s">
        <v>21</v>
      </c>
      <c r="C24" s="10" t="s">
        <v>65</v>
      </c>
      <c r="D24" s="10" t="s">
        <v>66</v>
      </c>
      <c r="E24" s="19">
        <v>80</v>
      </c>
      <c r="F24" s="20">
        <v>7.29</v>
      </c>
      <c r="G24" s="52">
        <v>206.93</v>
      </c>
      <c r="H24" s="52">
        <v>4.38</v>
      </c>
      <c r="I24" s="52">
        <v>1.44</v>
      </c>
      <c r="J24" s="53">
        <v>44.19</v>
      </c>
    </row>
    <row r="25" spans="1:11" ht="16.5" thickBot="1" x14ac:dyDescent="0.3">
      <c r="A25" s="66" t="s">
        <v>15</v>
      </c>
      <c r="B25" s="67"/>
      <c r="C25" s="67"/>
      <c r="D25" s="67"/>
      <c r="E25" s="68"/>
      <c r="F25" s="57">
        <f>SUM(F23:F24)</f>
        <v>44.53</v>
      </c>
      <c r="G25" s="57">
        <f>SUM(G23:G24)</f>
        <v>366.93</v>
      </c>
      <c r="H25" s="57">
        <f>SUM(H23:H24)</f>
        <v>10.58</v>
      </c>
      <c r="I25" s="57">
        <f>SUM(I23:I24)</f>
        <v>6.4399999999999995</v>
      </c>
      <c r="J25" s="57">
        <f>SUM(J23:J24)</f>
        <v>66.19</v>
      </c>
      <c r="K25"/>
    </row>
    <row r="27" spans="1:11" ht="15.75" thickBot="1" x14ac:dyDescent="0.3">
      <c r="A27" s="76" t="s">
        <v>25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1" ht="15.75" x14ac:dyDescent="0.25">
      <c r="A28" s="27"/>
      <c r="B28" s="27"/>
      <c r="C28" s="75" t="s">
        <v>23</v>
      </c>
      <c r="D28" s="75"/>
      <c r="G28" s="77"/>
      <c r="H28" s="77"/>
      <c r="I28" s="77"/>
      <c r="J28" s="77"/>
    </row>
    <row r="29" spans="1:11" x14ac:dyDescent="0.25">
      <c r="A29" s="1"/>
      <c r="B29" s="1"/>
      <c r="C29" s="1"/>
      <c r="D29" s="1"/>
    </row>
    <row r="30" spans="1:11" x14ac:dyDescent="0.25">
      <c r="A30" s="61" t="s">
        <v>24</v>
      </c>
      <c r="B30" s="61"/>
    </row>
    <row r="31" spans="1:11" x14ac:dyDescent="0.25">
      <c r="A31" s="61" t="s">
        <v>26</v>
      </c>
      <c r="B31" s="61"/>
    </row>
    <row r="32" spans="1:11" x14ac:dyDescent="0.25">
      <c r="A32" s="3"/>
    </row>
    <row r="36" customFormat="1" x14ac:dyDescent="0.25"/>
    <row r="37" customFormat="1" x14ac:dyDescent="0.25"/>
    <row r="38" customFormat="1" x14ac:dyDescent="0.25"/>
    <row r="39" customFormat="1" x14ac:dyDescent="0.25"/>
  </sheetData>
  <mergeCells count="15">
    <mergeCell ref="B1:C1"/>
    <mergeCell ref="G1:J1"/>
    <mergeCell ref="C28:D28"/>
    <mergeCell ref="A27:J27"/>
    <mergeCell ref="G28:J28"/>
    <mergeCell ref="A9:E9"/>
    <mergeCell ref="A10:A14"/>
    <mergeCell ref="A15:E15"/>
    <mergeCell ref="A22:E22"/>
    <mergeCell ref="A30:B30"/>
    <mergeCell ref="A31:B31"/>
    <mergeCell ref="A3:A8"/>
    <mergeCell ref="A23:A24"/>
    <mergeCell ref="A25:E25"/>
    <mergeCell ref="A16:A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3" workbookViewId="0">
      <selection activeCell="G29" sqref="G29"/>
    </sheetView>
  </sheetViews>
  <sheetFormatPr defaultRowHeight="15" x14ac:dyDescent="0.25"/>
  <cols>
    <col min="1" max="1" width="16.1406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7" t="s">
        <v>22</v>
      </c>
      <c r="C1" s="88"/>
      <c r="D1" s="1" t="s">
        <v>1</v>
      </c>
      <c r="E1" s="34"/>
      <c r="F1" s="1" t="s">
        <v>2</v>
      </c>
      <c r="G1" s="72">
        <v>44609</v>
      </c>
      <c r="H1" s="73"/>
      <c r="I1" s="73"/>
      <c r="J1" s="74"/>
      <c r="K1" s="1"/>
      <c r="L1" s="1"/>
    </row>
    <row r="2" spans="1:12" ht="15.75" thickBot="1" x14ac:dyDescent="0.3">
      <c r="A2" s="55" t="s">
        <v>3</v>
      </c>
      <c r="B2" s="35" t="s">
        <v>4</v>
      </c>
      <c r="C2" s="36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6" t="s">
        <v>11</v>
      </c>
      <c r="J2" s="37" t="s">
        <v>12</v>
      </c>
    </row>
    <row r="3" spans="1:12" s="48" customFormat="1" ht="17.25" customHeight="1" x14ac:dyDescent="0.25">
      <c r="A3" s="81" t="s">
        <v>32</v>
      </c>
      <c r="B3" s="13" t="s">
        <v>29</v>
      </c>
      <c r="C3" s="14" t="s">
        <v>52</v>
      </c>
      <c r="D3" s="23" t="s">
        <v>53</v>
      </c>
      <c r="E3" s="15">
        <v>50</v>
      </c>
      <c r="F3" s="15">
        <v>5.99</v>
      </c>
      <c r="G3" s="28">
        <f>604*0.05</f>
        <v>30.200000000000003</v>
      </c>
      <c r="H3" s="28">
        <f>13.12*0.05</f>
        <v>0.65600000000000003</v>
      </c>
      <c r="I3" s="28">
        <f>32.49*0.05</f>
        <v>1.6245000000000003</v>
      </c>
      <c r="J3" s="29">
        <f>64.66*0.05</f>
        <v>3.2330000000000001</v>
      </c>
    </row>
    <row r="4" spans="1:12" s="60" customFormat="1" ht="17.25" customHeight="1" x14ac:dyDescent="0.25">
      <c r="A4" s="81"/>
      <c r="B4" s="7" t="s">
        <v>13</v>
      </c>
      <c r="C4" s="46" t="s">
        <v>50</v>
      </c>
      <c r="D4" s="45" t="s">
        <v>51</v>
      </c>
      <c r="E4" s="18">
        <v>50</v>
      </c>
      <c r="F4" s="6">
        <v>39.6</v>
      </c>
      <c r="G4" s="33">
        <f>71/50*50</f>
        <v>71</v>
      </c>
      <c r="H4" s="33">
        <f>8.8/50*50</f>
        <v>8.8000000000000007</v>
      </c>
      <c r="I4" s="33">
        <f>3.1/50*50</f>
        <v>3.1</v>
      </c>
      <c r="J4" s="33">
        <f>1.9/50*50</f>
        <v>1.9</v>
      </c>
    </row>
    <row r="5" spans="1:12" s="48" customFormat="1" x14ac:dyDescent="0.25">
      <c r="A5" s="81"/>
      <c r="B5" s="7" t="s">
        <v>17</v>
      </c>
      <c r="C5" s="46" t="s">
        <v>39</v>
      </c>
      <c r="D5" s="47" t="s">
        <v>38</v>
      </c>
      <c r="E5" s="18">
        <v>130</v>
      </c>
      <c r="F5" s="6">
        <v>16.600000000000001</v>
      </c>
      <c r="G5" s="31">
        <f>915*0.13</f>
        <v>118.95</v>
      </c>
      <c r="H5" s="31">
        <f>20.43*0.13</f>
        <v>2.6558999999999999</v>
      </c>
      <c r="I5" s="31">
        <f>32.01*0.13</f>
        <v>4.1612999999999998</v>
      </c>
      <c r="J5" s="32">
        <f>136.26*0.13</f>
        <v>17.713799999999999</v>
      </c>
    </row>
    <row r="6" spans="1:12" s="48" customFormat="1" x14ac:dyDescent="0.25">
      <c r="A6" s="81"/>
      <c r="B6" s="7" t="s">
        <v>18</v>
      </c>
      <c r="C6" s="5" t="s">
        <v>19</v>
      </c>
      <c r="D6" s="5" t="s">
        <v>20</v>
      </c>
      <c r="E6" s="18" t="s">
        <v>31</v>
      </c>
      <c r="F6" s="6">
        <v>2.92</v>
      </c>
      <c r="G6" s="6">
        <v>60</v>
      </c>
      <c r="H6" s="6">
        <v>7.0000000000000007E-2</v>
      </c>
      <c r="I6" s="6">
        <v>0.02</v>
      </c>
      <c r="J6" s="8">
        <v>15</v>
      </c>
    </row>
    <row r="7" spans="1:12" ht="15.75" customHeight="1" x14ac:dyDescent="0.25">
      <c r="A7" s="81"/>
      <c r="B7" s="7" t="s">
        <v>21</v>
      </c>
      <c r="C7" s="5" t="s">
        <v>54</v>
      </c>
      <c r="D7" s="5" t="s">
        <v>55</v>
      </c>
      <c r="E7" s="18">
        <v>50</v>
      </c>
      <c r="F7" s="6">
        <v>3.61</v>
      </c>
      <c r="G7" s="33">
        <v>160.5</v>
      </c>
      <c r="H7" s="33">
        <v>3.39</v>
      </c>
      <c r="I7" s="33">
        <v>6.98</v>
      </c>
      <c r="J7" s="38">
        <v>21.07</v>
      </c>
    </row>
    <row r="8" spans="1:12" ht="15.75" thickBot="1" x14ac:dyDescent="0.3">
      <c r="A8" s="81"/>
      <c r="B8" s="9" t="s">
        <v>14</v>
      </c>
      <c r="C8" s="10" t="s">
        <v>46</v>
      </c>
      <c r="D8" s="10" t="s">
        <v>30</v>
      </c>
      <c r="E8" s="19">
        <v>19</v>
      </c>
      <c r="F8" s="20">
        <v>0.78</v>
      </c>
      <c r="G8" s="20">
        <f>229.7*0.19</f>
        <v>43.643000000000001</v>
      </c>
      <c r="H8" s="11">
        <f>6.7*0.19</f>
        <v>1.2730000000000001</v>
      </c>
      <c r="I8" s="11">
        <f>1.1*0.19</f>
        <v>0.20900000000000002</v>
      </c>
      <c r="J8" s="12">
        <f>48.3*0.19</f>
        <v>9.1769999999999996</v>
      </c>
    </row>
    <row r="9" spans="1:12" ht="16.5" thickBot="1" x14ac:dyDescent="0.3">
      <c r="A9" s="66" t="s">
        <v>15</v>
      </c>
      <c r="B9" s="85"/>
      <c r="C9" s="85"/>
      <c r="D9" s="85"/>
      <c r="E9" s="89"/>
      <c r="F9" s="21">
        <f>SUM(F3:F8)</f>
        <v>69.5</v>
      </c>
      <c r="G9" s="21">
        <f>SUM(G3:G8)</f>
        <v>484.29300000000001</v>
      </c>
      <c r="H9" s="21">
        <f>SUM(H3:H8)</f>
        <v>16.844900000000003</v>
      </c>
      <c r="I9" s="21">
        <f>SUM(I3:I8)</f>
        <v>16.094799999999999</v>
      </c>
      <c r="J9" s="21">
        <f>SUM(J3:J8)</f>
        <v>68.093800000000002</v>
      </c>
    </row>
    <row r="10" spans="1:12" s="50" customFormat="1" ht="15" customHeight="1" x14ac:dyDescent="0.25">
      <c r="A10" s="69" t="s">
        <v>33</v>
      </c>
      <c r="B10" s="13" t="s">
        <v>29</v>
      </c>
      <c r="C10" s="14" t="s">
        <v>52</v>
      </c>
      <c r="D10" s="23" t="s">
        <v>53</v>
      </c>
      <c r="E10" s="15">
        <v>40</v>
      </c>
      <c r="F10" s="15">
        <v>4.79</v>
      </c>
      <c r="G10" s="28">
        <f>604*0.05</f>
        <v>30.200000000000003</v>
      </c>
      <c r="H10" s="28">
        <f>13.12*0.05</f>
        <v>0.65600000000000003</v>
      </c>
      <c r="I10" s="28">
        <f>32.49*0.05</f>
        <v>1.6245000000000003</v>
      </c>
      <c r="J10" s="29">
        <f>64.66*0.05</f>
        <v>3.2330000000000001</v>
      </c>
    </row>
    <row r="11" spans="1:12" s="50" customFormat="1" x14ac:dyDescent="0.25">
      <c r="A11" s="62"/>
      <c r="B11" s="7" t="s">
        <v>17</v>
      </c>
      <c r="C11" s="46" t="s">
        <v>39</v>
      </c>
      <c r="D11" s="47" t="s">
        <v>38</v>
      </c>
      <c r="E11" s="18">
        <v>150</v>
      </c>
      <c r="F11" s="6">
        <v>19.149999999999999</v>
      </c>
      <c r="G11" s="31">
        <f>915*0.15</f>
        <v>137.25</v>
      </c>
      <c r="H11" s="31">
        <f>20.43*0.15</f>
        <v>3.0644999999999998</v>
      </c>
      <c r="I11" s="31">
        <f>32.01*0.15</f>
        <v>4.8014999999999999</v>
      </c>
      <c r="J11" s="32">
        <f>136.26*0.15</f>
        <v>20.438999999999997</v>
      </c>
    </row>
    <row r="12" spans="1:12" s="54" customFormat="1" x14ac:dyDescent="0.25">
      <c r="A12" s="62"/>
      <c r="B12" s="7" t="s">
        <v>18</v>
      </c>
      <c r="C12" s="5" t="s">
        <v>19</v>
      </c>
      <c r="D12" s="5" t="s">
        <v>20</v>
      </c>
      <c r="E12" s="18" t="s">
        <v>31</v>
      </c>
      <c r="F12" s="6">
        <v>2.92</v>
      </c>
      <c r="G12" s="6">
        <v>60</v>
      </c>
      <c r="H12" s="6">
        <v>7.0000000000000007E-2</v>
      </c>
      <c r="I12" s="6">
        <v>0.02</v>
      </c>
      <c r="J12" s="8">
        <v>15</v>
      </c>
    </row>
    <row r="13" spans="1:12" s="26" customFormat="1" ht="15.75" thickBot="1" x14ac:dyDescent="0.3">
      <c r="A13" s="90"/>
      <c r="B13" s="9" t="s">
        <v>14</v>
      </c>
      <c r="C13" s="10" t="s">
        <v>46</v>
      </c>
      <c r="D13" s="10" t="s">
        <v>30</v>
      </c>
      <c r="E13" s="19">
        <v>3.4</v>
      </c>
      <c r="F13" s="20">
        <v>0.14000000000000001</v>
      </c>
      <c r="G13" s="20">
        <f>229.7*0.034</f>
        <v>7.8098000000000001</v>
      </c>
      <c r="H13" s="11">
        <f>6.7*0.034</f>
        <v>0.22780000000000003</v>
      </c>
      <c r="I13" s="11">
        <f>1.1*0.034</f>
        <v>3.7400000000000003E-2</v>
      </c>
      <c r="J13" s="12">
        <f>48.3*0.034</f>
        <v>1.6422000000000001</v>
      </c>
    </row>
    <row r="14" spans="1:12" ht="16.5" thickBot="1" x14ac:dyDescent="0.3">
      <c r="A14" s="91" t="s">
        <v>15</v>
      </c>
      <c r="B14" s="92"/>
      <c r="C14" s="92"/>
      <c r="D14" s="92"/>
      <c r="E14" s="93"/>
      <c r="F14" s="51">
        <f>SUM(F10:F13)</f>
        <v>27</v>
      </c>
      <c r="G14" s="51">
        <f t="shared" ref="G14:J14" si="0">SUM(G10:G13)</f>
        <v>235.25979999999998</v>
      </c>
      <c r="H14" s="51">
        <f t="shared" si="0"/>
        <v>4.0183</v>
      </c>
      <c r="I14" s="51">
        <f t="shared" si="0"/>
        <v>6.4833999999999996</v>
      </c>
      <c r="J14" s="51">
        <f t="shared" si="0"/>
        <v>40.3142</v>
      </c>
      <c r="K14" s="54"/>
      <c r="L14" s="54"/>
    </row>
    <row r="15" spans="1:12" s="54" customFormat="1" x14ac:dyDescent="0.25">
      <c r="A15" s="82" t="s">
        <v>35</v>
      </c>
      <c r="B15" s="22" t="s">
        <v>29</v>
      </c>
      <c r="C15" s="23" t="s">
        <v>67</v>
      </c>
      <c r="D15" s="23" t="s">
        <v>68</v>
      </c>
      <c r="E15" s="15" t="s">
        <v>69</v>
      </c>
      <c r="F15" s="16">
        <v>4.12</v>
      </c>
      <c r="G15" s="16">
        <f>660*0.04+229.7*0.185</f>
        <v>68.894499999999994</v>
      </c>
      <c r="H15" s="16">
        <f>0.8*0.4+6.7*0.185</f>
        <v>1.5595000000000001</v>
      </c>
      <c r="I15" s="16">
        <f>7.25*0.4+1.1*0.185</f>
        <v>3.1035000000000004</v>
      </c>
      <c r="J15" s="17">
        <f>0.13*0.4+48.3*0.185</f>
        <v>8.9874999999999989</v>
      </c>
    </row>
    <row r="16" spans="1:12" ht="15.75" thickBot="1" x14ac:dyDescent="0.3">
      <c r="A16" s="83"/>
      <c r="B16" s="9" t="s">
        <v>18</v>
      </c>
      <c r="C16" s="10" t="s">
        <v>19</v>
      </c>
      <c r="D16" s="10" t="s">
        <v>20</v>
      </c>
      <c r="E16" s="19" t="s">
        <v>31</v>
      </c>
      <c r="F16" s="20">
        <v>2.88</v>
      </c>
      <c r="G16" s="52">
        <v>60</v>
      </c>
      <c r="H16" s="52">
        <v>7.0000000000000007E-2</v>
      </c>
      <c r="I16" s="52">
        <v>0.02</v>
      </c>
      <c r="J16" s="53">
        <v>15</v>
      </c>
    </row>
    <row r="17" spans="1:10" ht="16.5" thickBot="1" x14ac:dyDescent="0.3">
      <c r="A17" s="66" t="s">
        <v>15</v>
      </c>
      <c r="B17" s="67"/>
      <c r="C17" s="67"/>
      <c r="D17" s="67"/>
      <c r="E17" s="84"/>
      <c r="F17" s="21">
        <f>SUM(F15:F16)</f>
        <v>7</v>
      </c>
      <c r="G17" s="21">
        <f t="shared" ref="G17:J17" si="1">SUM(G15:G16)</f>
        <v>128.89449999999999</v>
      </c>
      <c r="H17" s="21">
        <f t="shared" si="1"/>
        <v>1.6295000000000002</v>
      </c>
      <c r="I17" s="21">
        <f t="shared" si="1"/>
        <v>3.1235000000000004</v>
      </c>
      <c r="J17" s="21">
        <f t="shared" si="1"/>
        <v>23.987499999999997</v>
      </c>
    </row>
    <row r="18" spans="1:10" x14ac:dyDescent="0.25">
      <c r="A18" s="65" t="s">
        <v>34</v>
      </c>
      <c r="B18" s="22" t="s">
        <v>16</v>
      </c>
      <c r="C18" s="23" t="s">
        <v>42</v>
      </c>
      <c r="D18" s="23" t="s">
        <v>43</v>
      </c>
      <c r="E18" s="15" t="s">
        <v>48</v>
      </c>
      <c r="F18" s="16">
        <v>9.6999999999999993</v>
      </c>
      <c r="G18" s="16">
        <f>593*0.25</f>
        <v>148.25</v>
      </c>
      <c r="H18" s="16">
        <f>21.96*0.25</f>
        <v>5.49</v>
      </c>
      <c r="I18" s="16">
        <f>21.08*0.25</f>
        <v>5.27</v>
      </c>
      <c r="J18" s="17">
        <f>66.14*0.25</f>
        <v>16.535</v>
      </c>
    </row>
    <row r="19" spans="1:10" x14ac:dyDescent="0.25">
      <c r="A19" s="65"/>
      <c r="B19" s="7" t="s">
        <v>13</v>
      </c>
      <c r="C19" s="5" t="s">
        <v>44</v>
      </c>
      <c r="D19" s="45" t="s">
        <v>62</v>
      </c>
      <c r="E19" s="18" t="s">
        <v>61</v>
      </c>
      <c r="F19" s="6">
        <v>19.43</v>
      </c>
      <c r="G19" s="33">
        <f>221*0.28</f>
        <v>61.88</v>
      </c>
      <c r="H19" s="33">
        <f>14.55*0.28</f>
        <v>4.0740000000000007</v>
      </c>
      <c r="I19" s="33">
        <f>16.79*0.28</f>
        <v>4.7012</v>
      </c>
      <c r="J19" s="38">
        <f>2.89*0.28</f>
        <v>0.80920000000000014</v>
      </c>
    </row>
    <row r="20" spans="1:10" x14ac:dyDescent="0.25">
      <c r="A20" s="65"/>
      <c r="B20" s="7" t="s">
        <v>17</v>
      </c>
      <c r="C20" s="5" t="s">
        <v>63</v>
      </c>
      <c r="D20" s="5" t="s">
        <v>64</v>
      </c>
      <c r="E20" s="18">
        <v>100</v>
      </c>
      <c r="F20" s="6">
        <v>11.33</v>
      </c>
      <c r="G20" s="31">
        <f>1625*0.1</f>
        <v>162.5</v>
      </c>
      <c r="H20" s="31">
        <f>57.32*0.1</f>
        <v>5.7320000000000002</v>
      </c>
      <c r="I20" s="31">
        <f>40.62*0.1</f>
        <v>4.0620000000000003</v>
      </c>
      <c r="J20" s="32">
        <f>257.61*0.1</f>
        <v>25.761000000000003</v>
      </c>
    </row>
    <row r="21" spans="1:10" x14ac:dyDescent="0.25">
      <c r="A21" s="65"/>
      <c r="B21" s="7" t="s">
        <v>18</v>
      </c>
      <c r="C21" s="5" t="s">
        <v>19</v>
      </c>
      <c r="D21" s="5" t="s">
        <v>20</v>
      </c>
      <c r="E21" s="18" t="s">
        <v>31</v>
      </c>
      <c r="F21" s="6">
        <v>2.92</v>
      </c>
      <c r="G21" s="6">
        <v>60</v>
      </c>
      <c r="H21" s="6">
        <v>7.0000000000000007E-2</v>
      </c>
      <c r="I21" s="6">
        <v>0.02</v>
      </c>
      <c r="J21" s="8">
        <v>15</v>
      </c>
    </row>
    <row r="22" spans="1:10" ht="15.75" thickBot="1" x14ac:dyDescent="0.3">
      <c r="A22" s="65"/>
      <c r="B22" s="9" t="s">
        <v>14</v>
      </c>
      <c r="C22" s="10" t="s">
        <v>46</v>
      </c>
      <c r="D22" s="10" t="s">
        <v>30</v>
      </c>
      <c r="E22" s="19">
        <v>39.5</v>
      </c>
      <c r="F22" s="20">
        <v>1.62</v>
      </c>
      <c r="G22" s="20">
        <f>229.7*0.395</f>
        <v>90.731499999999997</v>
      </c>
      <c r="H22" s="11">
        <f>6.7*0.395</f>
        <v>2.6465000000000001</v>
      </c>
      <c r="I22" s="11">
        <f>1.1*0.395</f>
        <v>0.43450000000000005</v>
      </c>
      <c r="J22" s="12">
        <f>48.3*0.395</f>
        <v>19.078499999999998</v>
      </c>
    </row>
    <row r="23" spans="1:10" ht="16.5" thickBot="1" x14ac:dyDescent="0.3">
      <c r="A23" s="66" t="s">
        <v>15</v>
      </c>
      <c r="B23" s="85"/>
      <c r="C23" s="85"/>
      <c r="D23" s="85"/>
      <c r="E23" s="86"/>
      <c r="F23" s="24">
        <f>SUM(F18:F22)</f>
        <v>45</v>
      </c>
      <c r="G23" s="24">
        <f t="shared" ref="G23:J23" si="2">SUM(G18:G22)</f>
        <v>523.36149999999998</v>
      </c>
      <c r="H23" s="24">
        <f t="shared" si="2"/>
        <v>18.012499999999999</v>
      </c>
      <c r="I23" s="24">
        <f t="shared" si="2"/>
        <v>14.4877</v>
      </c>
      <c r="J23" s="24">
        <f t="shared" si="2"/>
        <v>77.183700000000002</v>
      </c>
    </row>
    <row r="24" spans="1:10" x14ac:dyDescent="0.25">
      <c r="A24" s="65" t="s">
        <v>36</v>
      </c>
      <c r="B24" s="22" t="s">
        <v>16</v>
      </c>
      <c r="C24" s="23" t="s">
        <v>42</v>
      </c>
      <c r="D24" s="23" t="s">
        <v>43</v>
      </c>
      <c r="E24" s="15" t="s">
        <v>48</v>
      </c>
      <c r="F24" s="16">
        <v>9.6999999999999993</v>
      </c>
      <c r="G24" s="16">
        <f>593*0.25</f>
        <v>148.25</v>
      </c>
      <c r="H24" s="16">
        <f>21.96*0.25</f>
        <v>5.49</v>
      </c>
      <c r="I24" s="16">
        <f>21.08*0.25</f>
        <v>5.27</v>
      </c>
      <c r="J24" s="17">
        <f>66.14*0.25</f>
        <v>16.535</v>
      </c>
    </row>
    <row r="25" spans="1:10" x14ac:dyDescent="0.25">
      <c r="A25" s="65"/>
      <c r="B25" s="7" t="s">
        <v>13</v>
      </c>
      <c r="C25" s="5" t="s">
        <v>44</v>
      </c>
      <c r="D25" s="45" t="s">
        <v>62</v>
      </c>
      <c r="E25" s="18" t="s">
        <v>40</v>
      </c>
      <c r="F25" s="6">
        <v>41.63</v>
      </c>
      <c r="G25" s="33">
        <f>221*0.6</f>
        <v>132.6</v>
      </c>
      <c r="H25" s="33">
        <f>14.55*0.6</f>
        <v>8.73</v>
      </c>
      <c r="I25" s="33">
        <f>16.79*0.6</f>
        <v>10.074</v>
      </c>
      <c r="J25" s="38">
        <f>2.89*0.6</f>
        <v>1.734</v>
      </c>
    </row>
    <row r="26" spans="1:10" s="48" customFormat="1" x14ac:dyDescent="0.25">
      <c r="A26" s="65"/>
      <c r="B26" s="7" t="s">
        <v>17</v>
      </c>
      <c r="C26" s="5" t="s">
        <v>63</v>
      </c>
      <c r="D26" s="5" t="s">
        <v>64</v>
      </c>
      <c r="E26" s="18">
        <v>100</v>
      </c>
      <c r="F26" s="6">
        <v>11.33</v>
      </c>
      <c r="G26" s="31">
        <f>1625*0.1</f>
        <v>162.5</v>
      </c>
      <c r="H26" s="31">
        <f>57.32*0.1</f>
        <v>5.7320000000000002</v>
      </c>
      <c r="I26" s="31">
        <f>40.62*0.1</f>
        <v>4.0620000000000003</v>
      </c>
      <c r="J26" s="32">
        <f>257.61*0.1</f>
        <v>25.761000000000003</v>
      </c>
    </row>
    <row r="27" spans="1:10" x14ac:dyDescent="0.25">
      <c r="A27" s="65"/>
      <c r="B27" s="7" t="s">
        <v>18</v>
      </c>
      <c r="C27" s="5" t="s">
        <v>19</v>
      </c>
      <c r="D27" s="5" t="s">
        <v>20</v>
      </c>
      <c r="E27" s="18" t="s">
        <v>31</v>
      </c>
      <c r="F27" s="6">
        <v>2.92</v>
      </c>
      <c r="G27" s="6">
        <v>60</v>
      </c>
      <c r="H27" s="6">
        <v>7.0000000000000007E-2</v>
      </c>
      <c r="I27" s="6">
        <v>0.02</v>
      </c>
      <c r="J27" s="8">
        <v>15</v>
      </c>
    </row>
    <row r="28" spans="1:10" x14ac:dyDescent="0.25">
      <c r="A28" s="65"/>
      <c r="B28" s="7" t="s">
        <v>56</v>
      </c>
      <c r="C28" s="5" t="s">
        <v>37</v>
      </c>
      <c r="D28" s="5" t="s">
        <v>57</v>
      </c>
      <c r="E28" s="18">
        <v>14</v>
      </c>
      <c r="F28" s="6">
        <v>3.12</v>
      </c>
      <c r="G28" s="33">
        <f>480*0.14</f>
        <v>67.2</v>
      </c>
      <c r="H28" s="33">
        <f>8.5*0.14</f>
        <v>1.1900000000000002</v>
      </c>
      <c r="I28" s="33">
        <f>18*0.14</f>
        <v>2.5200000000000005</v>
      </c>
      <c r="J28" s="38">
        <f>70*0.14</f>
        <v>9.8000000000000007</v>
      </c>
    </row>
    <row r="29" spans="1:10" ht="15.75" thickBot="1" x14ac:dyDescent="0.3">
      <c r="A29" s="65"/>
      <c r="B29" s="39" t="s">
        <v>14</v>
      </c>
      <c r="C29" s="40" t="s">
        <v>46</v>
      </c>
      <c r="D29" s="40" t="s">
        <v>30</v>
      </c>
      <c r="E29" s="41">
        <v>19.5</v>
      </c>
      <c r="F29" s="42">
        <v>0.8</v>
      </c>
      <c r="G29" s="42">
        <f>229.7*0.195</f>
        <v>44.791499999999999</v>
      </c>
      <c r="H29" s="43">
        <f>6.7*0.195</f>
        <v>1.3065</v>
      </c>
      <c r="I29" s="43">
        <f>1.1*0.195</f>
        <v>0.21450000000000002</v>
      </c>
      <c r="J29" s="44">
        <f>48.3*0.195</f>
        <v>9.4184999999999999</v>
      </c>
    </row>
    <row r="30" spans="1:10" ht="16.5" thickBot="1" x14ac:dyDescent="0.3">
      <c r="A30" s="66" t="s">
        <v>15</v>
      </c>
      <c r="B30" s="85"/>
      <c r="C30" s="85"/>
      <c r="D30" s="85"/>
      <c r="E30" s="86"/>
      <c r="F30" s="24">
        <f>SUM(F24:F29)</f>
        <v>69.5</v>
      </c>
      <c r="G30" s="24">
        <f t="shared" ref="G30:J30" si="3">SUM(G24:G29)</f>
        <v>615.34150000000011</v>
      </c>
      <c r="H30" s="24">
        <f t="shared" si="3"/>
        <v>22.518500000000003</v>
      </c>
      <c r="I30" s="24">
        <f t="shared" si="3"/>
        <v>22.160499999999999</v>
      </c>
      <c r="J30" s="24">
        <f t="shared" si="3"/>
        <v>78.248499999999993</v>
      </c>
    </row>
    <row r="32" spans="1:10" ht="15.75" thickBot="1" x14ac:dyDescent="0.3">
      <c r="A32" s="76" t="s">
        <v>25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15.75" x14ac:dyDescent="0.25">
      <c r="A33" s="27"/>
      <c r="B33" s="27"/>
      <c r="C33" s="75" t="s">
        <v>23</v>
      </c>
      <c r="D33" s="75"/>
      <c r="G33" s="77"/>
      <c r="H33" s="77"/>
      <c r="I33" s="77"/>
      <c r="J33" s="77"/>
    </row>
    <row r="34" spans="1:10" x14ac:dyDescent="0.25">
      <c r="A34" s="1"/>
      <c r="B34" s="1"/>
      <c r="C34" s="1"/>
      <c r="D34" s="1"/>
    </row>
    <row r="35" spans="1:10" x14ac:dyDescent="0.25">
      <c r="A35" s="61" t="s">
        <v>24</v>
      </c>
      <c r="B35" s="61"/>
    </row>
    <row r="36" spans="1:10" x14ac:dyDescent="0.25">
      <c r="A36" s="61" t="s">
        <v>26</v>
      </c>
      <c r="B36" s="61"/>
    </row>
    <row r="37" spans="1:10" x14ac:dyDescent="0.25">
      <c r="A37" s="3"/>
    </row>
  </sheetData>
  <mergeCells count="17">
    <mergeCell ref="B1:C1"/>
    <mergeCell ref="G1:J1"/>
    <mergeCell ref="A9:E9"/>
    <mergeCell ref="A10:A13"/>
    <mergeCell ref="A14:E14"/>
    <mergeCell ref="G33:J33"/>
    <mergeCell ref="A3:A8"/>
    <mergeCell ref="A35:B35"/>
    <mergeCell ref="A36:B36"/>
    <mergeCell ref="A15:A16"/>
    <mergeCell ref="A17:E17"/>
    <mergeCell ref="A24:A29"/>
    <mergeCell ref="A30:E30"/>
    <mergeCell ref="A32:J32"/>
    <mergeCell ref="C33:D33"/>
    <mergeCell ref="A23:E23"/>
    <mergeCell ref="A18:A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17.02 1-4 кл</vt:lpstr>
      <vt:lpstr>17.02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2022-02-16T10:42:18Z</dcterms:modified>
</cp:coreProperties>
</file>