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2.03 1-4 кл" sheetId="1" r:id="rId1"/>
    <sheet name="02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6" i="2"/>
  <c r="I26" i="2"/>
  <c r="H26" i="2"/>
  <c r="G26" i="2"/>
  <c r="J25" i="2"/>
  <c r="I25" i="2"/>
  <c r="H25" i="2"/>
  <c r="G25" i="2"/>
  <c r="J24" i="2"/>
  <c r="I24" i="2"/>
  <c r="H24" i="2"/>
  <c r="G24" i="2"/>
  <c r="J22" i="2"/>
  <c r="I22" i="2"/>
  <c r="H22" i="2"/>
  <c r="G22" i="2"/>
  <c r="J20" i="2"/>
  <c r="I20" i="2"/>
  <c r="H20" i="2"/>
  <c r="G20" i="2"/>
  <c r="J19" i="2"/>
  <c r="I19" i="2"/>
  <c r="H19" i="2"/>
  <c r="G19" i="2"/>
  <c r="J18" i="2"/>
  <c r="I18" i="2"/>
  <c r="H18" i="2"/>
  <c r="G18" i="2"/>
  <c r="J15" i="2"/>
  <c r="I15" i="2"/>
  <c r="H15" i="2"/>
  <c r="G15" i="2"/>
  <c r="J13" i="2"/>
  <c r="I13" i="2"/>
  <c r="H13" i="2"/>
  <c r="G13" i="2"/>
  <c r="J10" i="2"/>
  <c r="I10" i="2"/>
  <c r="H10" i="2"/>
  <c r="G10" i="2"/>
  <c r="J7" i="2"/>
  <c r="I7" i="2"/>
  <c r="H7" i="2"/>
  <c r="G7" i="2"/>
  <c r="J21" i="1" l="1"/>
  <c r="I21" i="1"/>
  <c r="H21" i="1"/>
  <c r="G21" i="1"/>
  <c r="J18" i="1" l="1"/>
  <c r="I18" i="1"/>
  <c r="H18" i="1"/>
  <c r="G18" i="1"/>
  <c r="J14" i="1"/>
  <c r="I14" i="1"/>
  <c r="H14" i="1"/>
  <c r="G14" i="1"/>
  <c r="G15" i="1" s="1"/>
  <c r="H15" i="1"/>
  <c r="I15" i="1"/>
  <c r="J15" i="1"/>
  <c r="F15" i="1"/>
  <c r="J11" i="1"/>
  <c r="I11" i="1"/>
  <c r="H11" i="1"/>
  <c r="G11" i="1"/>
  <c r="J8" i="1"/>
  <c r="I8" i="1"/>
  <c r="H8" i="1"/>
  <c r="G8" i="1"/>
  <c r="J7" i="1"/>
  <c r="I7" i="1"/>
  <c r="H7" i="1"/>
  <c r="G7" i="1"/>
  <c r="J6" i="1"/>
  <c r="I6" i="1"/>
  <c r="H6" i="1"/>
  <c r="G6" i="1"/>
  <c r="J4" i="1"/>
  <c r="I4" i="1"/>
  <c r="H4" i="1"/>
  <c r="G4" i="1"/>
  <c r="J3" i="1"/>
  <c r="I3" i="1"/>
  <c r="H3" i="1"/>
  <c r="G3" i="1"/>
  <c r="J8" i="2"/>
  <c r="I8" i="2"/>
  <c r="H8" i="2"/>
  <c r="G8" i="2"/>
  <c r="J4" i="2" l="1"/>
  <c r="I4" i="2"/>
  <c r="H4" i="2"/>
  <c r="G4" i="2"/>
  <c r="J11" i="2" l="1"/>
  <c r="I11" i="2"/>
  <c r="H11" i="2"/>
  <c r="G11" i="2"/>
  <c r="J14" i="2"/>
  <c r="F17" i="2"/>
  <c r="J17" i="2"/>
  <c r="I17" i="2"/>
  <c r="H17" i="2"/>
  <c r="G17" i="2"/>
  <c r="F14" i="2"/>
  <c r="I14" i="2"/>
  <c r="H14" i="2"/>
  <c r="G14" i="2"/>
  <c r="F29" i="2" l="1"/>
  <c r="J29" i="2"/>
  <c r="I29" i="2"/>
  <c r="H29" i="2"/>
  <c r="G29" i="2"/>
  <c r="F23" i="2"/>
  <c r="J23" i="2"/>
  <c r="H23" i="2"/>
  <c r="G23" i="2"/>
  <c r="F9" i="2"/>
  <c r="J3" i="2"/>
  <c r="I3" i="2"/>
  <c r="I9" i="2" s="1"/>
  <c r="H3" i="2"/>
  <c r="H9" i="2" s="1"/>
  <c r="G3" i="2"/>
  <c r="G9" i="2" s="1"/>
  <c r="J16" i="1"/>
  <c r="I16" i="1"/>
  <c r="H16" i="1"/>
  <c r="G16" i="1"/>
  <c r="J10" i="1"/>
  <c r="I10" i="1"/>
  <c r="H10" i="1"/>
  <c r="G10" i="1"/>
  <c r="J9" i="2" l="1"/>
  <c r="I23" i="2"/>
  <c r="F22" i="1"/>
  <c r="F9" i="1"/>
  <c r="I25" i="1" l="1"/>
  <c r="G25" i="1"/>
  <c r="H25" i="1"/>
  <c r="J25" i="1"/>
  <c r="F25" i="1"/>
  <c r="J12" i="1" l="1"/>
  <c r="I12" i="1"/>
  <c r="H12" i="1"/>
  <c r="G12" i="1"/>
  <c r="J17" i="1"/>
  <c r="I17" i="1"/>
  <c r="H17" i="1"/>
  <c r="G17" i="1"/>
  <c r="J20" i="1"/>
  <c r="I20" i="1"/>
  <c r="H20" i="1"/>
  <c r="G20" i="1"/>
  <c r="H22" i="1" l="1"/>
  <c r="G22" i="1"/>
  <c r="I22" i="1"/>
  <c r="J22" i="1"/>
  <c r="J9" i="1"/>
  <c r="I9" i="1"/>
  <c r="H9" i="1"/>
  <c r="G9" i="1"/>
</calcChain>
</file>

<file path=xl/sharedStrings.xml><?xml version="1.0" encoding="utf-8"?>
<sst xmlns="http://schemas.openxmlformats.org/spreadsheetml/2006/main" count="186" uniqueCount="73">
  <si>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</si>
  <si>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</si>
  <si>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</si>
  <si>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</si>
  <si>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</si>
  <si>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</si>
  <si>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</si>
  <si>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</si>
  <si>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</si>
  <si>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</si>
  <si>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</si>
  <si>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</si>
  <si>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</si>
  <si>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</si>
  <si>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</si>
  <si>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</si>
  <si>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</si>
  <si>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</si>
  <si>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</si>
  <si>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</si>
  <si>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</si>
  <si>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</si>
  <si>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</si>
  <si>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</si>
  <si>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</si>
  <si>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</si>
  <si>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</si>
  <si>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</si>
  <si>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</si>
  <si>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</si>
  <si>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</si>
  <si>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ТТК№5</t>
  </si>
  <si>
    <t>Батон "Домашний"</t>
  </si>
  <si>
    <t>200/15</t>
  </si>
  <si>
    <t>Напиток</t>
  </si>
  <si>
    <t>ПР</t>
  </si>
  <si>
    <t>Кондитерское изделие</t>
  </si>
  <si>
    <t>№295-2015г.</t>
  </si>
  <si>
    <t>№309-2015г.</t>
  </si>
  <si>
    <t>Макароны отварные</t>
  </si>
  <si>
    <t>№424-2015г.</t>
  </si>
  <si>
    <t>Булочка домашняя</t>
  </si>
  <si>
    <t>Фрукт</t>
  </si>
  <si>
    <t>№338-2015г.</t>
  </si>
  <si>
    <t>№304-2015г.</t>
  </si>
  <si>
    <t>Рис отварной</t>
  </si>
  <si>
    <t>Фрукт свежий (яблоко)</t>
  </si>
  <si>
    <t>№96-2015г.</t>
  </si>
  <si>
    <t>ТТК №18</t>
  </si>
  <si>
    <t>Филе цыплёнка запечённое</t>
  </si>
  <si>
    <t>ТТК №6</t>
  </si>
  <si>
    <t>Булочка "Рулетик с маком"</t>
  </si>
  <si>
    <t>Молочный коктейль "Авишка" 2,5%</t>
  </si>
  <si>
    <t>Рассольник ленинградский со сметаной и зеленью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</si>
  <si>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</si>
  <si>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</si>
  <si>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</si>
  <si>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>Закуска</t>
  </si>
  <si>
    <t>Завтрак бюджетный 1-я смена и полдник для детей-инвалидов 2-я смена 5-11 кл</t>
  </si>
  <si>
    <t>Обед 6-7 кл.</t>
  </si>
  <si>
    <t>Обед дети-инвалиды 5-11 кл</t>
  </si>
  <si>
    <t>№1-2015г.</t>
  </si>
  <si>
    <t>Бутерброд с маслом</t>
  </si>
  <si>
    <t>№699-2004г.</t>
  </si>
  <si>
    <t>Напиток апельсиновый</t>
  </si>
  <si>
    <t>Напиток (сладкое блюдо)</t>
  </si>
  <si>
    <t>№349-2015г.</t>
  </si>
  <si>
    <t>Компот из смеси сухофруктов</t>
  </si>
  <si>
    <t>№406-2015г.</t>
  </si>
  <si>
    <t>Пирожок печёный из дрожжевого теста с повидлом</t>
  </si>
  <si>
    <t>Печенье "Лимонное"</t>
  </si>
  <si>
    <t>Котлета рубленая из цыплят-бройлеров</t>
  </si>
  <si>
    <t>4/18,5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</si>
</sst>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2" fontId="1" fillId="0" borderId="1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2" fillId="0" borderId="33" xfId="0" applyNumberFormat="1" applyFont="1" applyBorder="1" applyAlignment="1">
      <alignment vertical="center" wrapText="1"/>
    </xf>
    <xf numFmtId="2" fontId="2" fillId="0" borderId="3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B16" sqref="B16:J21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3" t="s">
        <v>22</v>
      </c>
      <c r="C1" s="54"/>
      <c r="D1" s="1" t="s">
        <v>1</v>
      </c>
      <c r="E1" s="30"/>
      <c r="F1" s="1" t="s">
        <v>2</v>
      </c>
      <c r="G1" s="55">
        <v>44622</v>
      </c>
      <c r="H1" s="56"/>
      <c r="I1" s="56"/>
      <c r="J1" s="57"/>
      <c r="K1" s="1"/>
      <c r="L1" s="1"/>
    </row>
    <row r="2" spans="1:12" ht="15.75" thickBot="1" x14ac:dyDescent="0.3">
      <c r="A2" s="37" t="s">
        <v>3</v>
      </c>
      <c r="B2" s="5" t="s">
        <v>4</v>
      </c>
      <c r="C2" s="38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7" t="s">
        <v>12</v>
      </c>
    </row>
    <row r="3" spans="1:12" s="27" customFormat="1" x14ac:dyDescent="0.25">
      <c r="A3" s="45" t="s">
        <v>27</v>
      </c>
      <c r="B3" s="23" t="s">
        <v>13</v>
      </c>
      <c r="C3" s="24" t="s">
        <v>37</v>
      </c>
      <c r="D3" s="24" t="s">
        <v>71</v>
      </c>
      <c r="E3" s="16">
        <v>60</v>
      </c>
      <c r="F3" s="17">
        <v>26.83</v>
      </c>
      <c r="G3" s="17">
        <f>161*1.2</f>
        <v>193.2</v>
      </c>
      <c r="H3" s="17">
        <f>7.61*1.2</f>
        <v>9.1319999999999997</v>
      </c>
      <c r="I3" s="17">
        <f>11.07*1.2</f>
        <v>13.284000000000001</v>
      </c>
      <c r="J3" s="18">
        <f>7.66*1.2</f>
        <v>9.1920000000000002</v>
      </c>
    </row>
    <row r="4" spans="1:12" s="31" customFormat="1" x14ac:dyDescent="0.25">
      <c r="A4" s="45"/>
      <c r="B4" s="9" t="s">
        <v>17</v>
      </c>
      <c r="C4" s="6" t="s">
        <v>44</v>
      </c>
      <c r="D4" s="6" t="s">
        <v>45</v>
      </c>
      <c r="E4" s="19">
        <v>130</v>
      </c>
      <c r="F4" s="8">
        <v>10.25</v>
      </c>
      <c r="G4" s="8">
        <f>1398*0.13</f>
        <v>181.74</v>
      </c>
      <c r="H4" s="8">
        <f>24.34*0.13</f>
        <v>3.1642000000000001</v>
      </c>
      <c r="I4" s="8">
        <f>35.83*0.13</f>
        <v>4.6578999999999997</v>
      </c>
      <c r="J4" s="10">
        <f>244.56*0.13</f>
        <v>31.7928</v>
      </c>
    </row>
    <row r="5" spans="1:12" s="27" customFormat="1" x14ac:dyDescent="0.25">
      <c r="A5" s="45"/>
      <c r="B5" s="9" t="s">
        <v>34</v>
      </c>
      <c r="C5" s="6" t="s">
        <v>63</v>
      </c>
      <c r="D5" s="6" t="s">
        <v>64</v>
      </c>
      <c r="E5" s="19">
        <v>200</v>
      </c>
      <c r="F5" s="8">
        <v>7.95</v>
      </c>
      <c r="G5" s="8">
        <v>96</v>
      </c>
      <c r="H5" s="8">
        <v>0.1</v>
      </c>
      <c r="I5" s="8">
        <v>0</v>
      </c>
      <c r="J5" s="10">
        <v>25.2</v>
      </c>
      <c r="K5"/>
    </row>
    <row r="6" spans="1:12" s="34" customFormat="1" x14ac:dyDescent="0.25">
      <c r="A6" s="45"/>
      <c r="B6" s="9" t="s">
        <v>21</v>
      </c>
      <c r="C6" s="6" t="s">
        <v>50</v>
      </c>
      <c r="D6" s="6" t="s">
        <v>51</v>
      </c>
      <c r="E6" s="19">
        <v>50</v>
      </c>
      <c r="F6" s="8">
        <v>6.97</v>
      </c>
      <c r="G6" s="8">
        <f>397.2*0.5</f>
        <v>198.6</v>
      </c>
      <c r="H6" s="7">
        <f>8.2*0.5</f>
        <v>4.0999999999999996</v>
      </c>
      <c r="I6" s="7">
        <f>15.4*0.5</f>
        <v>7.7</v>
      </c>
      <c r="J6" s="11">
        <f>56.4*0.5</f>
        <v>28.2</v>
      </c>
    </row>
    <row r="7" spans="1:12" s="27" customFormat="1" x14ac:dyDescent="0.25">
      <c r="A7" s="45"/>
      <c r="B7" s="9" t="s">
        <v>14</v>
      </c>
      <c r="C7" s="6" t="s">
        <v>31</v>
      </c>
      <c r="D7" s="6" t="s">
        <v>32</v>
      </c>
      <c r="E7" s="19">
        <v>40.5</v>
      </c>
      <c r="F7" s="8">
        <v>1.65</v>
      </c>
      <c r="G7" s="8">
        <f>229.7*0.405</f>
        <v>93.028500000000008</v>
      </c>
      <c r="H7" s="7">
        <f>6.7*0.405</f>
        <v>2.7135000000000002</v>
      </c>
      <c r="I7" s="7">
        <f>1.1*0.405</f>
        <v>0.44550000000000006</v>
      </c>
      <c r="J7" s="11">
        <f>48.3*0.405</f>
        <v>19.561499999999999</v>
      </c>
    </row>
    <row r="8" spans="1:12" s="27" customFormat="1" ht="15.75" thickBot="1" x14ac:dyDescent="0.3">
      <c r="A8" s="46"/>
      <c r="B8" s="12" t="s">
        <v>42</v>
      </c>
      <c r="C8" s="13" t="s">
        <v>43</v>
      </c>
      <c r="D8" s="13" t="s">
        <v>46</v>
      </c>
      <c r="E8" s="20">
        <v>165</v>
      </c>
      <c r="F8" s="21">
        <v>21.08</v>
      </c>
      <c r="G8" s="21">
        <f>47*1.65</f>
        <v>77.55</v>
      </c>
      <c r="H8" s="21">
        <f>0.4*1.65</f>
        <v>0.66</v>
      </c>
      <c r="I8" s="21">
        <f>0.4*1.65</f>
        <v>0.66</v>
      </c>
      <c r="J8" s="25">
        <f>9.8*1.65</f>
        <v>16.170000000000002</v>
      </c>
    </row>
    <row r="9" spans="1:12" ht="16.5" thickBot="1" x14ac:dyDescent="0.3">
      <c r="A9" s="61" t="s">
        <v>15</v>
      </c>
      <c r="B9" s="62"/>
      <c r="C9" s="62"/>
      <c r="D9" s="62"/>
      <c r="E9" s="63"/>
      <c r="F9" s="22">
        <f>SUM(F3:F8)</f>
        <v>74.72999999999999</v>
      </c>
      <c r="G9" s="22">
        <f t="shared" ref="G9:J9" si="0">SUM(G3:G8)</f>
        <v>840.11849999999993</v>
      </c>
      <c r="H9" s="22">
        <f t="shared" si="0"/>
        <v>19.869699999999998</v>
      </c>
      <c r="I9" s="22">
        <f t="shared" si="0"/>
        <v>26.747399999999999</v>
      </c>
      <c r="J9" s="22">
        <f t="shared" si="0"/>
        <v>130.1163</v>
      </c>
    </row>
    <row r="10" spans="1:12" s="31" customFormat="1" ht="15.75" customHeight="1" x14ac:dyDescent="0.25">
      <c r="A10" s="64" t="s">
        <v>28</v>
      </c>
      <c r="B10" s="23" t="s">
        <v>16</v>
      </c>
      <c r="C10" s="24" t="s">
        <v>47</v>
      </c>
      <c r="D10" s="24" t="s">
        <v>53</v>
      </c>
      <c r="E10" s="16" t="s">
        <v>54</v>
      </c>
      <c r="F10" s="17">
        <v>17.45</v>
      </c>
      <c r="G10" s="17">
        <f>429*0.25+162*0.1</f>
        <v>123.45</v>
      </c>
      <c r="H10" s="17">
        <f>8.07*0.25+2.6*0.1</f>
        <v>2.2774999999999999</v>
      </c>
      <c r="I10" s="17">
        <f>20.36*0.25+15*0.1</f>
        <v>6.59</v>
      </c>
      <c r="J10" s="18">
        <f>47.92*0.25+3.6*0.1</f>
        <v>12.34</v>
      </c>
      <c r="K10"/>
    </row>
    <row r="11" spans="1:12" s="31" customFormat="1" x14ac:dyDescent="0.25">
      <c r="A11" s="65"/>
      <c r="B11" s="9" t="s">
        <v>13</v>
      </c>
      <c r="C11" s="6" t="s">
        <v>48</v>
      </c>
      <c r="D11" s="6" t="s">
        <v>49</v>
      </c>
      <c r="E11" s="19">
        <v>22</v>
      </c>
      <c r="F11" s="8">
        <v>16.63</v>
      </c>
      <c r="G11" s="28">
        <f>129.15*0.44</f>
        <v>56.826000000000001</v>
      </c>
      <c r="H11" s="28">
        <f>17.2*0.44</f>
        <v>7.5679999999999996</v>
      </c>
      <c r="I11" s="28">
        <f>3.8*0.44</f>
        <v>1.6719999999999999</v>
      </c>
      <c r="J11" s="29">
        <f>6.6*0.44</f>
        <v>2.9039999999999999</v>
      </c>
      <c r="K11"/>
    </row>
    <row r="12" spans="1:12" s="31" customFormat="1" x14ac:dyDescent="0.25">
      <c r="A12" s="65"/>
      <c r="B12" s="9" t="s">
        <v>17</v>
      </c>
      <c r="C12" s="6" t="s">
        <v>38</v>
      </c>
      <c r="D12" s="6" t="s">
        <v>39</v>
      </c>
      <c r="E12" s="19">
        <v>100</v>
      </c>
      <c r="F12" s="8">
        <v>6.59</v>
      </c>
      <c r="G12" s="8">
        <f>1123*0.1</f>
        <v>112.30000000000001</v>
      </c>
      <c r="H12" s="8">
        <f>36.78*0.1</f>
        <v>3.6780000000000004</v>
      </c>
      <c r="I12" s="8">
        <f>30.1*0.1</f>
        <v>3.0100000000000002</v>
      </c>
      <c r="J12" s="10">
        <f>176.3*0.1</f>
        <v>17.630000000000003</v>
      </c>
    </row>
    <row r="13" spans="1:12" x14ac:dyDescent="0.25">
      <c r="A13" s="65"/>
      <c r="B13" s="9" t="s">
        <v>18</v>
      </c>
      <c r="C13" s="6" t="s">
        <v>19</v>
      </c>
      <c r="D13" s="6" t="s">
        <v>20</v>
      </c>
      <c r="E13" s="19" t="s">
        <v>33</v>
      </c>
      <c r="F13" s="8">
        <v>2.92</v>
      </c>
      <c r="G13" s="8">
        <v>60</v>
      </c>
      <c r="H13" s="8">
        <v>7.0000000000000007E-2</v>
      </c>
      <c r="I13" s="8">
        <v>0.02</v>
      </c>
      <c r="J13" s="10">
        <v>15</v>
      </c>
      <c r="K13"/>
    </row>
    <row r="14" spans="1:12" ht="15.75" thickBot="1" x14ac:dyDescent="0.3">
      <c r="A14" s="65"/>
      <c r="B14" s="12" t="s">
        <v>14</v>
      </c>
      <c r="C14" s="13" t="s">
        <v>31</v>
      </c>
      <c r="D14" s="13" t="s">
        <v>32</v>
      </c>
      <c r="E14" s="20">
        <v>23</v>
      </c>
      <c r="F14" s="21">
        <v>0.94</v>
      </c>
      <c r="G14" s="21">
        <f>229.7*0.23</f>
        <v>52.831000000000003</v>
      </c>
      <c r="H14" s="14">
        <f>6.7*0.23</f>
        <v>1.5410000000000001</v>
      </c>
      <c r="I14" s="14">
        <f>1.1*0.23</f>
        <v>0.25300000000000006</v>
      </c>
      <c r="J14" s="15">
        <f>48.3*0.23</f>
        <v>11.109</v>
      </c>
    </row>
    <row r="15" spans="1:12" ht="16.5" thickBot="1" x14ac:dyDescent="0.3">
      <c r="A15" s="66" t="s">
        <v>15</v>
      </c>
      <c r="B15" s="67"/>
      <c r="C15" s="67"/>
      <c r="D15" s="67"/>
      <c r="E15" s="68"/>
      <c r="F15" s="32">
        <f>SUM(F10:F14)</f>
        <v>44.53</v>
      </c>
      <c r="G15" s="32">
        <f t="shared" ref="G15:J15" si="1">SUM(G10:G14)</f>
        <v>405.40700000000004</v>
      </c>
      <c r="H15" s="32">
        <f t="shared" si="1"/>
        <v>15.134500000000001</v>
      </c>
      <c r="I15" s="32">
        <f t="shared" si="1"/>
        <v>11.545</v>
      </c>
      <c r="J15" s="32">
        <f t="shared" si="1"/>
        <v>58.983000000000004</v>
      </c>
    </row>
    <row r="16" spans="1:12" s="34" customFormat="1" ht="15.75" customHeight="1" x14ac:dyDescent="0.25">
      <c r="A16" s="52" t="s">
        <v>29</v>
      </c>
      <c r="B16" s="23" t="s">
        <v>16</v>
      </c>
      <c r="C16" s="24" t="s">
        <v>47</v>
      </c>
      <c r="D16" s="24" t="s">
        <v>53</v>
      </c>
      <c r="E16" s="16" t="s">
        <v>54</v>
      </c>
      <c r="F16" s="17">
        <v>17.45</v>
      </c>
      <c r="G16" s="17">
        <f>429*0.25+162*0.1</f>
        <v>123.45</v>
      </c>
      <c r="H16" s="17">
        <f>8.07*0.25+2.6*0.1</f>
        <v>2.2774999999999999</v>
      </c>
      <c r="I16" s="17">
        <f>20.36*0.25+15*0.1</f>
        <v>6.59</v>
      </c>
      <c r="J16" s="18">
        <f>47.92*0.25+3.6*0.1</f>
        <v>12.34</v>
      </c>
      <c r="K16"/>
    </row>
    <row r="17" spans="1:11" s="27" customFormat="1" x14ac:dyDescent="0.25">
      <c r="A17" s="45"/>
      <c r="B17" s="9" t="s">
        <v>13</v>
      </c>
      <c r="C17" s="6" t="s">
        <v>48</v>
      </c>
      <c r="D17" s="6" t="s">
        <v>49</v>
      </c>
      <c r="E17" s="19">
        <v>50</v>
      </c>
      <c r="F17" s="8">
        <v>37.799999999999997</v>
      </c>
      <c r="G17" s="28">
        <f>129.15</f>
        <v>129.15</v>
      </c>
      <c r="H17" s="28">
        <f>17.2*1</f>
        <v>17.2</v>
      </c>
      <c r="I17" s="28">
        <f>3.8*1</f>
        <v>3.8</v>
      </c>
      <c r="J17" s="29">
        <f>6.6*1</f>
        <v>6.6</v>
      </c>
      <c r="K17"/>
    </row>
    <row r="18" spans="1:11" s="33" customFormat="1" x14ac:dyDescent="0.25">
      <c r="A18" s="45"/>
      <c r="B18" s="9" t="s">
        <v>17</v>
      </c>
      <c r="C18" s="6" t="s">
        <v>38</v>
      </c>
      <c r="D18" s="6" t="s">
        <v>39</v>
      </c>
      <c r="E18" s="19">
        <v>120</v>
      </c>
      <c r="F18" s="8">
        <v>7.91</v>
      </c>
      <c r="G18" s="8">
        <f>1123*0.12</f>
        <v>134.76</v>
      </c>
      <c r="H18" s="8">
        <f>36.78*0.12</f>
        <v>4.4135999999999997</v>
      </c>
      <c r="I18" s="8">
        <f>30.1*0.12</f>
        <v>3.6120000000000001</v>
      </c>
      <c r="J18" s="10">
        <f>176.3*0.12</f>
        <v>21.155999999999999</v>
      </c>
    </row>
    <row r="19" spans="1:11" s="33" customFormat="1" x14ac:dyDescent="0.25">
      <c r="A19" s="45"/>
      <c r="B19" s="9" t="s">
        <v>65</v>
      </c>
      <c r="C19" s="6" t="s">
        <v>66</v>
      </c>
      <c r="D19" s="6" t="s">
        <v>67</v>
      </c>
      <c r="E19" s="19">
        <v>200</v>
      </c>
      <c r="F19" s="8">
        <v>6.3</v>
      </c>
      <c r="G19" s="8">
        <v>132.80000000000001</v>
      </c>
      <c r="H19" s="28">
        <v>0.66</v>
      </c>
      <c r="I19" s="28">
        <v>0.09</v>
      </c>
      <c r="J19" s="29">
        <v>32.01</v>
      </c>
      <c r="K19"/>
    </row>
    <row r="20" spans="1:11" s="31" customFormat="1" x14ac:dyDescent="0.25">
      <c r="A20" s="45"/>
      <c r="B20" s="9" t="s">
        <v>21</v>
      </c>
      <c r="C20" s="6" t="s">
        <v>40</v>
      </c>
      <c r="D20" s="6" t="s">
        <v>41</v>
      </c>
      <c r="E20" s="19">
        <v>50</v>
      </c>
      <c r="F20" s="8">
        <v>4.2699999999999996</v>
      </c>
      <c r="G20" s="8">
        <f>318*0.5</f>
        <v>159</v>
      </c>
      <c r="H20" s="7">
        <f>7.28*0.5</f>
        <v>3.64</v>
      </c>
      <c r="I20" s="7">
        <f>12.52*0.5</f>
        <v>6.26</v>
      </c>
      <c r="J20" s="11">
        <f>43.92*0.5</f>
        <v>21.96</v>
      </c>
    </row>
    <row r="21" spans="1:11" s="34" customFormat="1" ht="15.75" thickBot="1" x14ac:dyDescent="0.3">
      <c r="A21" s="46"/>
      <c r="B21" s="12" t="s">
        <v>14</v>
      </c>
      <c r="C21" s="13" t="s">
        <v>31</v>
      </c>
      <c r="D21" s="13" t="s">
        <v>32</v>
      </c>
      <c r="E21" s="20">
        <v>24.5</v>
      </c>
      <c r="F21" s="21">
        <v>1</v>
      </c>
      <c r="G21" s="21">
        <f>229.7*0.245</f>
        <v>56.276499999999999</v>
      </c>
      <c r="H21" s="14">
        <f>6.7*0.245</f>
        <v>1.6415</v>
      </c>
      <c r="I21" s="14">
        <f>1.1*0.245</f>
        <v>0.26950000000000002</v>
      </c>
      <c r="J21" s="15">
        <f>48.3*0.245</f>
        <v>11.833499999999999</v>
      </c>
    </row>
    <row r="22" spans="1:11" ht="16.5" thickBot="1" x14ac:dyDescent="0.3">
      <c r="A22" s="69" t="s">
        <v>15</v>
      </c>
      <c r="B22" s="62"/>
      <c r="C22" s="62"/>
      <c r="D22" s="62"/>
      <c r="E22" s="63"/>
      <c r="F22" s="22">
        <f>SUM(F16:F21)</f>
        <v>74.72999999999999</v>
      </c>
      <c r="G22" s="22">
        <f t="shared" ref="G22:J22" si="2">SUM(G16:G21)</f>
        <v>735.43650000000002</v>
      </c>
      <c r="H22" s="22">
        <f t="shared" si="2"/>
        <v>29.832599999999999</v>
      </c>
      <c r="I22" s="22">
        <f t="shared" si="2"/>
        <v>20.621500000000001</v>
      </c>
      <c r="J22" s="22">
        <f t="shared" si="2"/>
        <v>105.8995</v>
      </c>
      <c r="K22"/>
    </row>
    <row r="23" spans="1:11" s="33" customFormat="1" x14ac:dyDescent="0.25">
      <c r="A23" s="47" t="s">
        <v>30</v>
      </c>
      <c r="B23" s="23" t="s">
        <v>34</v>
      </c>
      <c r="C23" s="24" t="s">
        <v>35</v>
      </c>
      <c r="D23" s="24" t="s">
        <v>52</v>
      </c>
      <c r="E23" s="16">
        <v>200</v>
      </c>
      <c r="F23" s="17">
        <v>37.24</v>
      </c>
      <c r="G23" s="17">
        <v>160</v>
      </c>
      <c r="H23" s="17">
        <v>5</v>
      </c>
      <c r="I23" s="17">
        <v>6.2</v>
      </c>
      <c r="J23" s="18">
        <v>22</v>
      </c>
      <c r="K23"/>
    </row>
    <row r="24" spans="1:11" s="31" customFormat="1" ht="31.5" customHeight="1" thickBot="1" x14ac:dyDescent="0.3">
      <c r="A24" s="48"/>
      <c r="B24" s="12" t="s">
        <v>21</v>
      </c>
      <c r="C24" s="13" t="s">
        <v>68</v>
      </c>
      <c r="D24" s="13" t="s">
        <v>69</v>
      </c>
      <c r="E24" s="74">
        <v>80</v>
      </c>
      <c r="F24" s="14">
        <v>7.29</v>
      </c>
      <c r="G24" s="39">
        <v>206.93</v>
      </c>
      <c r="H24" s="39">
        <v>4.38</v>
      </c>
      <c r="I24" s="39">
        <v>1.44</v>
      </c>
      <c r="J24" s="40">
        <v>44.19</v>
      </c>
      <c r="K24"/>
    </row>
    <row r="25" spans="1:11" ht="16.5" thickBot="1" x14ac:dyDescent="0.3">
      <c r="A25" s="49" t="s">
        <v>15</v>
      </c>
      <c r="B25" s="50"/>
      <c r="C25" s="50"/>
      <c r="D25" s="50"/>
      <c r="E25" s="51"/>
      <c r="F25" s="3">
        <f>SUM(F23:F24)</f>
        <v>44.53</v>
      </c>
      <c r="G25" s="3">
        <f>SUM(G23:G24)</f>
        <v>366.93</v>
      </c>
      <c r="H25" s="3">
        <f>SUM(H23:H24)</f>
        <v>9.379999999999999</v>
      </c>
      <c r="I25" s="3">
        <f>SUM(I23:I24)</f>
        <v>7.6400000000000006</v>
      </c>
      <c r="J25" s="3">
        <f>SUM(J23:J24)</f>
        <v>66.19</v>
      </c>
      <c r="K25"/>
    </row>
    <row r="27" spans="1:11" ht="15.75" thickBot="1" x14ac:dyDescent="0.3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</row>
    <row r="28" spans="1:11" ht="15.75" x14ac:dyDescent="0.25">
      <c r="A28" s="26"/>
      <c r="B28" s="26"/>
      <c r="C28" s="58" t="s">
        <v>23</v>
      </c>
      <c r="D28" s="58"/>
      <c r="G28" s="60"/>
      <c r="H28" s="60"/>
      <c r="I28" s="60"/>
      <c r="J28" s="60"/>
    </row>
    <row r="29" spans="1:11" x14ac:dyDescent="0.25">
      <c r="A29" s="1"/>
      <c r="B29" s="1"/>
      <c r="C29" s="1"/>
      <c r="D29" s="1"/>
    </row>
    <row r="30" spans="1:11" x14ac:dyDescent="0.25">
      <c r="A30" s="44" t="s">
        <v>24</v>
      </c>
      <c r="B30" s="44"/>
    </row>
    <row r="31" spans="1:11" x14ac:dyDescent="0.25">
      <c r="A31" s="44" t="s">
        <v>26</v>
      </c>
      <c r="B31" s="44"/>
    </row>
    <row r="32" spans="1:11" x14ac:dyDescent="0.25">
      <c r="A32" s="4"/>
    </row>
  </sheetData>
  <mergeCells count="15">
    <mergeCell ref="B1:C1"/>
    <mergeCell ref="G1:J1"/>
    <mergeCell ref="C28:D28"/>
    <mergeCell ref="A27:J27"/>
    <mergeCell ref="G28:J28"/>
    <mergeCell ref="A9:E9"/>
    <mergeCell ref="A10:A14"/>
    <mergeCell ref="A15:E15"/>
    <mergeCell ref="A22:E22"/>
    <mergeCell ref="A30:B30"/>
    <mergeCell ref="A31:B31"/>
    <mergeCell ref="A3:A8"/>
    <mergeCell ref="A23:A24"/>
    <mergeCell ref="A25:E25"/>
    <mergeCell ref="A16:A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workbookViewId="0">
      <selection activeCell="G28" sqref="G28"/>
    </sheetView>
  </sheetViews>
  <sheetFormatPr defaultRowHeight="15" x14ac:dyDescent="0.25"/>
  <cols>
    <col min="1" max="1" width="24" style="36" customWidth="1"/>
    <col min="2" max="2" width="24.7109375" style="36" customWidth="1"/>
    <col min="3" max="3" width="12.28515625" style="36" customWidth="1"/>
    <col min="4" max="4" width="46.28515625" style="36" customWidth="1"/>
    <col min="5" max="5" width="10.140625" style="36" bestFit="1" customWidth="1"/>
    <col min="6" max="6" width="9.140625" style="36"/>
    <col min="7" max="7" width="18.140625" style="36" customWidth="1"/>
    <col min="8" max="8" width="11.42578125" style="36" bestFit="1" customWidth="1"/>
    <col min="9" max="9" width="9.140625" style="36"/>
    <col min="10" max="10" width="10.85546875" style="36" customWidth="1"/>
    <col min="11" max="16384" width="9.140625" style="36"/>
  </cols>
  <sheetData>
    <row r="1" spans="1:12" ht="15.75" thickBot="1" x14ac:dyDescent="0.3">
      <c r="A1" s="1" t="s">
        <v>0</v>
      </c>
      <c r="B1" s="53" t="s">
        <v>22</v>
      </c>
      <c r="C1" s="54"/>
      <c r="D1" s="1" t="s">
        <v>1</v>
      </c>
      <c r="E1" s="30"/>
      <c r="F1" s="1" t="s">
        <v>2</v>
      </c>
      <c r="G1" s="55">
        <v>44622</v>
      </c>
      <c r="H1" s="56"/>
      <c r="I1" s="56"/>
      <c r="J1" s="57"/>
      <c r="K1" s="1"/>
      <c r="L1" s="1"/>
    </row>
    <row r="2" spans="1:12" ht="15.75" thickBot="1" x14ac:dyDescent="0.3">
      <c r="A2" s="37" t="s">
        <v>3</v>
      </c>
      <c r="B2" s="5" t="s">
        <v>4</v>
      </c>
      <c r="C2" s="38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7" t="s">
        <v>12</v>
      </c>
    </row>
    <row r="3" spans="1:12" x14ac:dyDescent="0.25">
      <c r="A3" s="45" t="s">
        <v>55</v>
      </c>
      <c r="B3" s="23" t="s">
        <v>13</v>
      </c>
      <c r="C3" s="24" t="s">
        <v>37</v>
      </c>
      <c r="D3" s="24" t="s">
        <v>71</v>
      </c>
      <c r="E3" s="16">
        <v>60</v>
      </c>
      <c r="F3" s="17">
        <v>26.83</v>
      </c>
      <c r="G3" s="17">
        <f>161*1.2</f>
        <v>193.2</v>
      </c>
      <c r="H3" s="17">
        <f>7.61*1.2</f>
        <v>9.1319999999999997</v>
      </c>
      <c r="I3" s="17">
        <f>11.07*1.2</f>
        <v>13.284000000000001</v>
      </c>
      <c r="J3" s="18">
        <f>7.66*1.2</f>
        <v>9.1920000000000002</v>
      </c>
    </row>
    <row r="4" spans="1:12" x14ac:dyDescent="0.25">
      <c r="A4" s="45"/>
      <c r="B4" s="9" t="s">
        <v>17</v>
      </c>
      <c r="C4" s="6" t="s">
        <v>44</v>
      </c>
      <c r="D4" s="6" t="s">
        <v>45</v>
      </c>
      <c r="E4" s="19">
        <v>130</v>
      </c>
      <c r="F4" s="8">
        <v>10.25</v>
      </c>
      <c r="G4" s="8">
        <f>1398*0.13</f>
        <v>181.74</v>
      </c>
      <c r="H4" s="8">
        <f>24.34*0.13</f>
        <v>3.1642000000000001</v>
      </c>
      <c r="I4" s="8">
        <f>35.83*0.13</f>
        <v>4.6578999999999997</v>
      </c>
      <c r="J4" s="10">
        <f>244.56*0.13</f>
        <v>31.7928</v>
      </c>
    </row>
    <row r="5" spans="1:12" x14ac:dyDescent="0.25">
      <c r="A5" s="45"/>
      <c r="B5" s="9" t="s">
        <v>34</v>
      </c>
      <c r="C5" s="6" t="s">
        <v>63</v>
      </c>
      <c r="D5" s="6" t="s">
        <v>64</v>
      </c>
      <c r="E5" s="19">
        <v>200</v>
      </c>
      <c r="F5" s="8">
        <v>7.95</v>
      </c>
      <c r="G5" s="8">
        <v>96</v>
      </c>
      <c r="H5" s="8">
        <v>0.1</v>
      </c>
      <c r="I5" s="8">
        <v>0</v>
      </c>
      <c r="J5" s="10">
        <v>25.2</v>
      </c>
      <c r="K5"/>
    </row>
    <row r="6" spans="1:12" x14ac:dyDescent="0.25">
      <c r="A6" s="45"/>
      <c r="B6" s="9" t="s">
        <v>36</v>
      </c>
      <c r="C6" s="6" t="s">
        <v>35</v>
      </c>
      <c r="D6" s="6" t="s">
        <v>70</v>
      </c>
      <c r="E6" s="19">
        <v>14</v>
      </c>
      <c r="F6" s="8">
        <v>3.12</v>
      </c>
      <c r="G6" s="8">
        <v>67.2</v>
      </c>
      <c r="H6" s="7">
        <v>1.19</v>
      </c>
      <c r="I6" s="7">
        <v>2.52</v>
      </c>
      <c r="J6" s="11">
        <v>9.8000000000000007</v>
      </c>
    </row>
    <row r="7" spans="1:12" x14ac:dyDescent="0.25">
      <c r="A7" s="45"/>
      <c r="B7" s="9" t="s">
        <v>14</v>
      </c>
      <c r="C7" s="6" t="s">
        <v>31</v>
      </c>
      <c r="D7" s="6" t="s">
        <v>32</v>
      </c>
      <c r="E7" s="19">
        <v>6.5</v>
      </c>
      <c r="F7" s="8">
        <v>0.27</v>
      </c>
      <c r="G7" s="8">
        <f>229.7*0.065</f>
        <v>14.9305</v>
      </c>
      <c r="H7" s="7">
        <f>6.7*0.065</f>
        <v>0.43550000000000005</v>
      </c>
      <c r="I7" s="7">
        <f>1.1*0.065</f>
        <v>7.1500000000000008E-2</v>
      </c>
      <c r="J7" s="11">
        <f>48.3*0.065</f>
        <v>3.1395</v>
      </c>
    </row>
    <row r="8" spans="1:12" ht="15.75" thickBot="1" x14ac:dyDescent="0.3">
      <c r="A8" s="46"/>
      <c r="B8" s="12" t="s">
        <v>42</v>
      </c>
      <c r="C8" s="13" t="s">
        <v>43</v>
      </c>
      <c r="D8" s="13" t="s">
        <v>46</v>
      </c>
      <c r="E8" s="20">
        <v>165</v>
      </c>
      <c r="F8" s="21">
        <v>21.08</v>
      </c>
      <c r="G8" s="21">
        <f>47*1.65</f>
        <v>77.55</v>
      </c>
      <c r="H8" s="21">
        <f>0.4*1.65</f>
        <v>0.66</v>
      </c>
      <c r="I8" s="21">
        <f>0.4*1.65</f>
        <v>0.66</v>
      </c>
      <c r="J8" s="25">
        <f>9.8*1.65</f>
        <v>16.170000000000002</v>
      </c>
    </row>
    <row r="9" spans="1:12" ht="16.5" thickBot="1" x14ac:dyDescent="0.3">
      <c r="A9" s="61" t="s">
        <v>15</v>
      </c>
      <c r="B9" s="62"/>
      <c r="C9" s="62"/>
      <c r="D9" s="62"/>
      <c r="E9" s="63"/>
      <c r="F9" s="22">
        <f>SUM(F3:F8)</f>
        <v>69.5</v>
      </c>
      <c r="G9" s="22">
        <f>SUM(G3:G8)</f>
        <v>630.62049999999999</v>
      </c>
      <c r="H9" s="22">
        <f>SUM(H3:H8)</f>
        <v>14.681699999999998</v>
      </c>
      <c r="I9" s="22">
        <f>SUM(I3:I8)</f>
        <v>21.1934</v>
      </c>
      <c r="J9" s="22">
        <f>SUM(J3:J8)</f>
        <v>95.294299999999993</v>
      </c>
    </row>
    <row r="10" spans="1:12" ht="15.75" customHeight="1" x14ac:dyDescent="0.25">
      <c r="A10" s="64" t="s">
        <v>56</v>
      </c>
      <c r="B10" s="23" t="s">
        <v>13</v>
      </c>
      <c r="C10" s="24" t="s">
        <v>37</v>
      </c>
      <c r="D10" s="24" t="s">
        <v>71</v>
      </c>
      <c r="E10" s="16">
        <v>35</v>
      </c>
      <c r="F10" s="17">
        <v>15.65</v>
      </c>
      <c r="G10" s="17">
        <f>161*0.7</f>
        <v>112.69999999999999</v>
      </c>
      <c r="H10" s="17">
        <f>7.61*0.7</f>
        <v>5.327</v>
      </c>
      <c r="I10" s="17">
        <f>11.07*0.7</f>
        <v>7.7489999999999997</v>
      </c>
      <c r="J10" s="18">
        <f>7.66*0.7</f>
        <v>5.3620000000000001</v>
      </c>
      <c r="K10"/>
    </row>
    <row r="11" spans="1:12" x14ac:dyDescent="0.25">
      <c r="A11" s="65"/>
      <c r="B11" s="9" t="s">
        <v>17</v>
      </c>
      <c r="C11" s="6" t="s">
        <v>44</v>
      </c>
      <c r="D11" s="6" t="s">
        <v>45</v>
      </c>
      <c r="E11" s="19">
        <v>100</v>
      </c>
      <c r="F11" s="8">
        <v>7.89</v>
      </c>
      <c r="G11" s="8">
        <f>1398*0.1</f>
        <v>139.80000000000001</v>
      </c>
      <c r="H11" s="8">
        <f>24.34*0.1</f>
        <v>2.4340000000000002</v>
      </c>
      <c r="I11" s="8">
        <f>35.83*0.1</f>
        <v>3.5830000000000002</v>
      </c>
      <c r="J11" s="10">
        <f>244.56*0.1</f>
        <v>24.456000000000003</v>
      </c>
    </row>
    <row r="12" spans="1:12" x14ac:dyDescent="0.25">
      <c r="A12" s="65"/>
      <c r="B12" s="9" t="s">
        <v>18</v>
      </c>
      <c r="C12" s="6" t="s">
        <v>19</v>
      </c>
      <c r="D12" s="6" t="s">
        <v>20</v>
      </c>
      <c r="E12" s="19" t="s">
        <v>33</v>
      </c>
      <c r="F12" s="8">
        <v>2.92</v>
      </c>
      <c r="G12" s="8">
        <v>60</v>
      </c>
      <c r="H12" s="8">
        <v>7.0000000000000007E-2</v>
      </c>
      <c r="I12" s="8">
        <v>0.02</v>
      </c>
      <c r="J12" s="10">
        <v>15</v>
      </c>
      <c r="K12"/>
    </row>
    <row r="13" spans="1:12" ht="15.75" thickBot="1" x14ac:dyDescent="0.3">
      <c r="A13" s="65"/>
      <c r="B13" s="12" t="s">
        <v>14</v>
      </c>
      <c r="C13" s="13" t="s">
        <v>31</v>
      </c>
      <c r="D13" s="13" t="s">
        <v>32</v>
      </c>
      <c r="E13" s="20">
        <v>13.5</v>
      </c>
      <c r="F13" s="21">
        <v>0.54</v>
      </c>
      <c r="G13" s="21">
        <f>229.7*0.135</f>
        <v>31.009499999999999</v>
      </c>
      <c r="H13" s="14">
        <f>6.7*0.135</f>
        <v>0.90450000000000008</v>
      </c>
      <c r="I13" s="14">
        <f>1.1*0.135</f>
        <v>0.14850000000000002</v>
      </c>
      <c r="J13" s="15">
        <f>48.3*0.135</f>
        <v>6.5205000000000002</v>
      </c>
    </row>
    <row r="14" spans="1:12" ht="16.5" thickBot="1" x14ac:dyDescent="0.3">
      <c r="A14" s="66" t="s">
        <v>15</v>
      </c>
      <c r="B14" s="67"/>
      <c r="C14" s="67"/>
      <c r="D14" s="67"/>
      <c r="E14" s="68"/>
      <c r="F14" s="32">
        <f>SUM(F10:F13)</f>
        <v>27</v>
      </c>
      <c r="G14" s="32">
        <f>SUM(G10:G13)</f>
        <v>343.5095</v>
      </c>
      <c r="H14" s="32">
        <f>SUM(H10:H13)</f>
        <v>8.7355</v>
      </c>
      <c r="I14" s="32">
        <f>SUM(I10:I13)</f>
        <v>11.500500000000001</v>
      </c>
      <c r="J14" s="32">
        <f>SUM(J10:J13)</f>
        <v>51.338500000000003</v>
      </c>
    </row>
    <row r="15" spans="1:12" ht="15.75" customHeight="1" x14ac:dyDescent="0.25">
      <c r="A15" s="64" t="s">
        <v>58</v>
      </c>
      <c r="B15" s="23" t="s">
        <v>57</v>
      </c>
      <c r="C15" s="24" t="s">
        <v>61</v>
      </c>
      <c r="D15" s="24" t="s">
        <v>62</v>
      </c>
      <c r="E15" s="41" t="s">
        <v>72</v>
      </c>
      <c r="F15" s="17">
        <v>4.12</v>
      </c>
      <c r="G15" s="17">
        <f>660*0.04+229.7*0.185</f>
        <v>68.894499999999994</v>
      </c>
      <c r="H15" s="17">
        <f>0.8*0.04+6.7*0.185</f>
        <v>1.2715000000000001</v>
      </c>
      <c r="I15" s="17">
        <f>72.5*0.04+1.1*0.185</f>
        <v>3.1034999999999999</v>
      </c>
      <c r="J15" s="18">
        <f>1.3*0.04+48.3*0.185</f>
        <v>8.9874999999999989</v>
      </c>
      <c r="K15"/>
    </row>
    <row r="16" spans="1:12" ht="15.75" thickBot="1" x14ac:dyDescent="0.3">
      <c r="A16" s="65"/>
      <c r="B16" s="9" t="s">
        <v>18</v>
      </c>
      <c r="C16" s="6" t="s">
        <v>19</v>
      </c>
      <c r="D16" s="6" t="s">
        <v>20</v>
      </c>
      <c r="E16" s="19" t="s">
        <v>33</v>
      </c>
      <c r="F16" s="8">
        <v>2.88</v>
      </c>
      <c r="G16" s="8">
        <v>60</v>
      </c>
      <c r="H16" s="8">
        <v>7.0000000000000007E-2</v>
      </c>
      <c r="I16" s="8">
        <v>0.02</v>
      </c>
      <c r="J16" s="10">
        <v>15</v>
      </c>
      <c r="K16"/>
    </row>
    <row r="17" spans="1:11" ht="16.5" thickBot="1" x14ac:dyDescent="0.3">
      <c r="A17" s="66" t="s">
        <v>15</v>
      </c>
      <c r="B17" s="67"/>
      <c r="C17" s="67"/>
      <c r="D17" s="67"/>
      <c r="E17" s="68"/>
      <c r="F17" s="32">
        <f>SUM(F15:F16)</f>
        <v>7</v>
      </c>
      <c r="G17" s="32">
        <f>SUM(G15:G16)</f>
        <v>128.89449999999999</v>
      </c>
      <c r="H17" s="32">
        <f>SUM(H15:H16)</f>
        <v>1.3415000000000001</v>
      </c>
      <c r="I17" s="32">
        <f>SUM(I15:I16)</f>
        <v>3.1234999999999999</v>
      </c>
      <c r="J17" s="32">
        <f>SUM(J15:J16)</f>
        <v>23.987499999999997</v>
      </c>
    </row>
    <row r="18" spans="1:11" ht="15.75" customHeight="1" x14ac:dyDescent="0.25">
      <c r="A18" s="64" t="s">
        <v>60</v>
      </c>
      <c r="B18" s="23" t="s">
        <v>16</v>
      </c>
      <c r="C18" s="24" t="s">
        <v>47</v>
      </c>
      <c r="D18" s="24" t="s">
        <v>53</v>
      </c>
      <c r="E18" s="16" t="s">
        <v>54</v>
      </c>
      <c r="F18" s="17">
        <v>17.45</v>
      </c>
      <c r="G18" s="17">
        <f>429*0.25+162*0.1</f>
        <v>123.45</v>
      </c>
      <c r="H18" s="17">
        <f>8.07*0.25+2.6*0.1</f>
        <v>2.2774999999999999</v>
      </c>
      <c r="I18" s="17">
        <f>20.36*0.25+15*0.1</f>
        <v>6.59</v>
      </c>
      <c r="J18" s="18">
        <f>47.92*0.25+3.6*0.1</f>
        <v>12.34</v>
      </c>
      <c r="K18"/>
    </row>
    <row r="19" spans="1:11" x14ac:dyDescent="0.25">
      <c r="A19" s="65"/>
      <c r="B19" s="9" t="s">
        <v>13</v>
      </c>
      <c r="C19" s="6" t="s">
        <v>48</v>
      </c>
      <c r="D19" s="6" t="s">
        <v>49</v>
      </c>
      <c r="E19" s="19">
        <v>22</v>
      </c>
      <c r="F19" s="8">
        <v>16.63</v>
      </c>
      <c r="G19" s="28">
        <f>129.15*0.44</f>
        <v>56.826000000000001</v>
      </c>
      <c r="H19" s="28">
        <f>17.2*0.44</f>
        <v>7.5679999999999996</v>
      </c>
      <c r="I19" s="28">
        <f>3.8*0.44</f>
        <v>1.6719999999999999</v>
      </c>
      <c r="J19" s="29">
        <f>6.6*0.44</f>
        <v>2.9039999999999999</v>
      </c>
      <c r="K19"/>
    </row>
    <row r="20" spans="1:11" x14ac:dyDescent="0.25">
      <c r="A20" s="65"/>
      <c r="B20" s="9" t="s">
        <v>17</v>
      </c>
      <c r="C20" s="6" t="s">
        <v>38</v>
      </c>
      <c r="D20" s="6" t="s">
        <v>39</v>
      </c>
      <c r="E20" s="19">
        <v>100</v>
      </c>
      <c r="F20" s="8">
        <v>6.59</v>
      </c>
      <c r="G20" s="8">
        <f>1123*0.1</f>
        <v>112.30000000000001</v>
      </c>
      <c r="H20" s="8">
        <f>36.78*0.1</f>
        <v>3.6780000000000004</v>
      </c>
      <c r="I20" s="8">
        <f>30.1*0.1</f>
        <v>3.0100000000000002</v>
      </c>
      <c r="J20" s="10">
        <f>176.3*0.1</f>
        <v>17.630000000000003</v>
      </c>
    </row>
    <row r="21" spans="1:11" x14ac:dyDescent="0.25">
      <c r="A21" s="65"/>
      <c r="B21" s="9" t="s">
        <v>18</v>
      </c>
      <c r="C21" s="6" t="s">
        <v>19</v>
      </c>
      <c r="D21" s="6" t="s">
        <v>20</v>
      </c>
      <c r="E21" s="19" t="s">
        <v>33</v>
      </c>
      <c r="F21" s="8">
        <v>2.92</v>
      </c>
      <c r="G21" s="8">
        <v>60</v>
      </c>
      <c r="H21" s="8">
        <v>7.0000000000000007E-2</v>
      </c>
      <c r="I21" s="8">
        <v>0.02</v>
      </c>
      <c r="J21" s="10">
        <v>15</v>
      </c>
      <c r="K21"/>
    </row>
    <row r="22" spans="1:11" ht="15.75" thickBot="1" x14ac:dyDescent="0.3">
      <c r="A22" s="65"/>
      <c r="B22" s="12" t="s">
        <v>14</v>
      </c>
      <c r="C22" s="13" t="s">
        <v>31</v>
      </c>
      <c r="D22" s="13" t="s">
        <v>32</v>
      </c>
      <c r="E22" s="20">
        <v>34.5</v>
      </c>
      <c r="F22" s="21">
        <v>1.41</v>
      </c>
      <c r="G22" s="21">
        <f>229.7*0.345</f>
        <v>79.246499999999983</v>
      </c>
      <c r="H22" s="14">
        <f>6.7*0.345</f>
        <v>2.3114999999999997</v>
      </c>
      <c r="I22" s="14">
        <f>1.1*0.345</f>
        <v>0.3795</v>
      </c>
      <c r="J22" s="15">
        <f>48.3*0.345</f>
        <v>16.663499999999999</v>
      </c>
    </row>
    <row r="23" spans="1:11" ht="16.5" thickBot="1" x14ac:dyDescent="0.3">
      <c r="A23" s="66" t="s">
        <v>15</v>
      </c>
      <c r="B23" s="67"/>
      <c r="C23" s="67"/>
      <c r="D23" s="67"/>
      <c r="E23" s="68"/>
      <c r="F23" s="32">
        <f>SUM(F18:F22)</f>
        <v>45</v>
      </c>
      <c r="G23" s="32">
        <f t="shared" ref="G23:J23" si="0">SUM(G18:G22)</f>
        <v>431.82249999999999</v>
      </c>
      <c r="H23" s="32">
        <f t="shared" si="0"/>
        <v>15.905000000000001</v>
      </c>
      <c r="I23" s="32">
        <f t="shared" si="0"/>
        <v>11.6715</v>
      </c>
      <c r="J23" s="32">
        <f t="shared" si="0"/>
        <v>64.537499999999994</v>
      </c>
    </row>
    <row r="24" spans="1:11" ht="15.75" customHeight="1" x14ac:dyDescent="0.25">
      <c r="A24" s="70" t="s">
        <v>59</v>
      </c>
      <c r="B24" s="23" t="s">
        <v>16</v>
      </c>
      <c r="C24" s="24" t="s">
        <v>47</v>
      </c>
      <c r="D24" s="24" t="s">
        <v>53</v>
      </c>
      <c r="E24" s="16" t="s">
        <v>54</v>
      </c>
      <c r="F24" s="17">
        <v>17.45</v>
      </c>
      <c r="G24" s="17">
        <f>429*0.25+162*0.1</f>
        <v>123.45</v>
      </c>
      <c r="H24" s="17">
        <f>8.07*0.25+2.6*0.1</f>
        <v>2.2774999999999999</v>
      </c>
      <c r="I24" s="17">
        <f>20.36*0.25+15*0.1</f>
        <v>6.59</v>
      </c>
      <c r="J24" s="18">
        <f>47.92*0.25+3.6*0.1</f>
        <v>12.34</v>
      </c>
      <c r="K24"/>
    </row>
    <row r="25" spans="1:11" x14ac:dyDescent="0.25">
      <c r="A25" s="71"/>
      <c r="B25" s="9" t="s">
        <v>13</v>
      </c>
      <c r="C25" s="6" t="s">
        <v>48</v>
      </c>
      <c r="D25" s="6" t="s">
        <v>49</v>
      </c>
      <c r="E25" s="19">
        <v>50</v>
      </c>
      <c r="F25" s="8">
        <v>37.799999999999997</v>
      </c>
      <c r="G25" s="28">
        <f>129.15</f>
        <v>129.15</v>
      </c>
      <c r="H25" s="28">
        <f>17.2*1</f>
        <v>17.2</v>
      </c>
      <c r="I25" s="28">
        <f>3.8*1</f>
        <v>3.8</v>
      </c>
      <c r="J25" s="29">
        <f>6.6*1</f>
        <v>6.6</v>
      </c>
      <c r="K25"/>
    </row>
    <row r="26" spans="1:11" x14ac:dyDescent="0.25">
      <c r="A26" s="71"/>
      <c r="B26" s="9" t="s">
        <v>17</v>
      </c>
      <c r="C26" s="6" t="s">
        <v>38</v>
      </c>
      <c r="D26" s="6" t="s">
        <v>39</v>
      </c>
      <c r="E26" s="19">
        <v>100</v>
      </c>
      <c r="F26" s="8">
        <v>6.59</v>
      </c>
      <c r="G26" s="8">
        <f>1123*0.1</f>
        <v>112.30000000000001</v>
      </c>
      <c r="H26" s="8">
        <f>36.78*0.1</f>
        <v>3.6780000000000004</v>
      </c>
      <c r="I26" s="8">
        <f>30.1*0.1</f>
        <v>3.0100000000000002</v>
      </c>
      <c r="J26" s="10">
        <f>176.3*0.1</f>
        <v>17.630000000000003</v>
      </c>
    </row>
    <row r="27" spans="1:11" x14ac:dyDescent="0.25">
      <c r="A27" s="71"/>
      <c r="B27" s="9" t="s">
        <v>65</v>
      </c>
      <c r="C27" s="6" t="s">
        <v>66</v>
      </c>
      <c r="D27" s="6" t="s">
        <v>67</v>
      </c>
      <c r="E27" s="19">
        <v>200</v>
      </c>
      <c r="F27" s="8">
        <v>6.3</v>
      </c>
      <c r="G27" s="8">
        <v>132.80000000000001</v>
      </c>
      <c r="H27" s="28">
        <v>0.66</v>
      </c>
      <c r="I27" s="28">
        <v>0.09</v>
      </c>
      <c r="J27" s="29">
        <v>32.01</v>
      </c>
      <c r="K27"/>
    </row>
    <row r="28" spans="1:11" ht="15.75" thickBot="1" x14ac:dyDescent="0.3">
      <c r="A28" s="71"/>
      <c r="B28" s="12" t="s">
        <v>14</v>
      </c>
      <c r="C28" s="13" t="s">
        <v>31</v>
      </c>
      <c r="D28" s="13" t="s">
        <v>32</v>
      </c>
      <c r="E28" s="20">
        <v>33.5</v>
      </c>
      <c r="F28" s="21">
        <v>1.36</v>
      </c>
      <c r="G28" s="21">
        <f>229.7*0.335</f>
        <v>76.9495</v>
      </c>
      <c r="H28" s="14">
        <f>6.7*0.335</f>
        <v>2.2445000000000004</v>
      </c>
      <c r="I28" s="14">
        <f>1.1*0.335</f>
        <v>0.36850000000000005</v>
      </c>
      <c r="J28" s="15">
        <f>48.3*0.335</f>
        <v>16.180499999999999</v>
      </c>
    </row>
    <row r="29" spans="1:11" ht="16.5" thickBot="1" x14ac:dyDescent="0.3">
      <c r="A29" s="66" t="s">
        <v>15</v>
      </c>
      <c r="B29" s="72"/>
      <c r="C29" s="72"/>
      <c r="D29" s="72"/>
      <c r="E29" s="73"/>
      <c r="F29" s="42">
        <f>SUM(F24:F28)</f>
        <v>69.5</v>
      </c>
      <c r="G29" s="42">
        <f>SUM(G24:G28)</f>
        <v>574.64949999999999</v>
      </c>
      <c r="H29" s="42">
        <f>SUM(H24:H28)</f>
        <v>26.060000000000002</v>
      </c>
      <c r="I29" s="42">
        <f>SUM(I24:I28)</f>
        <v>13.858499999999999</v>
      </c>
      <c r="J29" s="43">
        <f>SUM(J24:J28)</f>
        <v>84.760499999999993</v>
      </c>
      <c r="K29"/>
    </row>
    <row r="31" spans="1:11" ht="15.75" thickBot="1" x14ac:dyDescent="0.3">
      <c r="A31" s="59" t="s">
        <v>25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1" ht="15.75" customHeight="1" x14ac:dyDescent="0.25">
      <c r="A32" s="26"/>
      <c r="B32" s="26"/>
      <c r="C32" s="58" t="s">
        <v>23</v>
      </c>
      <c r="D32" s="58"/>
      <c r="G32" s="60"/>
      <c r="H32" s="60"/>
      <c r="I32" s="60"/>
      <c r="J32" s="60"/>
    </row>
    <row r="33" spans="1:4" x14ac:dyDescent="0.25">
      <c r="A33" s="1"/>
      <c r="B33" s="1"/>
      <c r="C33" s="1"/>
      <c r="D33" s="1"/>
    </row>
    <row r="34" spans="1:4" ht="15" customHeight="1" x14ac:dyDescent="0.25">
      <c r="A34" s="44" t="s">
        <v>24</v>
      </c>
      <c r="B34" s="44"/>
    </row>
    <row r="35" spans="1:4" ht="15" customHeight="1" x14ac:dyDescent="0.25">
      <c r="A35" s="44" t="s">
        <v>26</v>
      </c>
      <c r="B35" s="44"/>
    </row>
    <row r="36" spans="1:4" x14ac:dyDescent="0.25">
      <c r="A36" s="35"/>
    </row>
  </sheetData>
  <mergeCells count="17">
    <mergeCell ref="B1:C1"/>
    <mergeCell ref="G1:J1"/>
    <mergeCell ref="A3:A8"/>
    <mergeCell ref="A9:E9"/>
    <mergeCell ref="A18:A22"/>
    <mergeCell ref="A34:B34"/>
    <mergeCell ref="A35:B35"/>
    <mergeCell ref="A10:A13"/>
    <mergeCell ref="A14:E14"/>
    <mergeCell ref="A15:A16"/>
    <mergeCell ref="A17:E17"/>
    <mergeCell ref="A24:A28"/>
    <mergeCell ref="A29:E29"/>
    <mergeCell ref="A31:J31"/>
    <mergeCell ref="C32:D32"/>
    <mergeCell ref="G32:J32"/>
    <mergeCell ref="A23:E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02.03 1-4 кл</vt:lpstr>
      <vt:lpstr>02.03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2022-03-01T11:28:15Z</dcterms:modified>
</cp:coreProperties>
</file>