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5.03 1-4 кл" sheetId="1" r:id="rId1"/>
    <sheet name="15.03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4" i="2"/>
  <c r="I24" i="2"/>
  <c r="H24" i="2"/>
  <c r="G24" i="2"/>
  <c r="J23" i="2"/>
  <c r="I23" i="2"/>
  <c r="H23" i="2"/>
  <c r="G23" i="2"/>
  <c r="J26" i="2"/>
  <c r="I26" i="2"/>
  <c r="H26" i="2"/>
  <c r="G26" i="2"/>
  <c r="J22" i="2"/>
  <c r="I22" i="2"/>
  <c r="H22" i="2"/>
  <c r="G22" i="2"/>
  <c r="J20" i="2"/>
  <c r="I20" i="2"/>
  <c r="H20" i="2"/>
  <c r="G20" i="2"/>
  <c r="J17" i="2"/>
  <c r="I17" i="2"/>
  <c r="H17" i="2"/>
  <c r="G17" i="2"/>
  <c r="J18" i="2"/>
  <c r="I18" i="2"/>
  <c r="H18" i="2"/>
  <c r="G18" i="2"/>
  <c r="J16" i="2"/>
  <c r="I16" i="2"/>
  <c r="H16" i="2"/>
  <c r="G16" i="2"/>
  <c r="J13" i="2"/>
  <c r="I13" i="2"/>
  <c r="H13" i="2"/>
  <c r="G13" i="2"/>
  <c r="J11" i="2"/>
  <c r="I11" i="2"/>
  <c r="H11" i="2"/>
  <c r="G11" i="2"/>
  <c r="J9" i="2"/>
  <c r="I9" i="2"/>
  <c r="H9" i="2"/>
  <c r="G9" i="2"/>
  <c r="J7" i="2"/>
  <c r="I7" i="2"/>
  <c r="H7" i="2"/>
  <c r="G7" i="2"/>
  <c r="J3" i="2"/>
  <c r="I3" i="2"/>
  <c r="H3" i="2"/>
  <c r="G3" i="2"/>
  <c r="J23" i="1"/>
  <c r="I23" i="1"/>
  <c r="H23" i="1"/>
  <c r="G23" i="1"/>
  <c r="J20" i="1"/>
  <c r="I20" i="1"/>
  <c r="H20" i="1"/>
  <c r="G20" i="1"/>
  <c r="J19" i="1"/>
  <c r="I19" i="1"/>
  <c r="H19" i="1"/>
  <c r="G19" i="1"/>
  <c r="J13" i="1" l="1"/>
  <c r="I13" i="1"/>
  <c r="H13" i="1"/>
  <c r="G13" i="1"/>
  <c r="J10" i="1"/>
  <c r="I10" i="1"/>
  <c r="H10" i="1"/>
  <c r="G10" i="1"/>
  <c r="J9" i="1"/>
  <c r="I9" i="1"/>
  <c r="H9" i="1"/>
  <c r="G9" i="1"/>
  <c r="J11" i="1"/>
  <c r="I11" i="1"/>
  <c r="H11" i="1"/>
  <c r="G11" i="1"/>
  <c r="J7" i="1"/>
  <c r="I7" i="1"/>
  <c r="H7" i="1"/>
  <c r="G7" i="1"/>
  <c r="J4" i="1" l="1"/>
  <c r="I4" i="1"/>
  <c r="H4" i="1"/>
  <c r="G4" i="1"/>
  <c r="J3" i="1"/>
  <c r="I3" i="1"/>
  <c r="H3" i="1"/>
  <c r="G3" i="1"/>
  <c r="J4" i="2"/>
  <c r="I4" i="2"/>
  <c r="H4" i="2"/>
  <c r="G4" i="2"/>
  <c r="J17" i="1" l="1"/>
  <c r="I17" i="1"/>
  <c r="H17" i="1"/>
  <c r="G17" i="1"/>
  <c r="J16" i="1"/>
  <c r="I16" i="1"/>
  <c r="H16" i="1"/>
  <c r="G16" i="1"/>
  <c r="F12" i="2" l="1"/>
  <c r="F8" i="2"/>
  <c r="J8" i="2"/>
  <c r="I8" i="2"/>
  <c r="H8" i="2"/>
  <c r="G8" i="2"/>
  <c r="G12" i="2" l="1"/>
  <c r="I12" i="2"/>
  <c r="H12" i="2"/>
  <c r="J12" i="2"/>
  <c r="F8" i="1"/>
  <c r="J8" i="1" l="1"/>
  <c r="I8" i="1"/>
  <c r="H8" i="1"/>
  <c r="G8" i="1"/>
  <c r="F28" i="2" l="1"/>
  <c r="I28" i="2"/>
  <c r="G28" i="2"/>
  <c r="F21" i="1"/>
  <c r="H28" i="2" l="1"/>
  <c r="J28" i="2"/>
  <c r="F14" i="1"/>
  <c r="G21" i="2" l="1"/>
  <c r="H21" i="2"/>
  <c r="I21" i="2"/>
  <c r="J21" i="2"/>
  <c r="F21" i="2"/>
  <c r="F15" i="2"/>
  <c r="F24" i="1"/>
  <c r="J24" i="1" l="1"/>
  <c r="I24" i="1"/>
  <c r="H24" i="1"/>
  <c r="G24" i="1"/>
  <c r="J15" i="1"/>
  <c r="J21" i="1" s="1"/>
  <c r="I15" i="1"/>
  <c r="I21" i="1" s="1"/>
  <c r="H15" i="1"/>
  <c r="H21" i="1" s="1"/>
  <c r="G15" i="1"/>
  <c r="G21" i="1" s="1"/>
  <c r="J14" i="1"/>
  <c r="I14" i="1"/>
  <c r="H14" i="1"/>
  <c r="G14" i="1"/>
  <c r="J15" i="2" l="1"/>
  <c r="I15" i="2"/>
  <c r="H15" i="2"/>
  <c r="G15" i="2"/>
</calcChain>
</file>

<file path=xl/sharedStrings.xml><?xml version="1.0" encoding="utf-8"?>
<sst xmlns="http://schemas.openxmlformats.org/spreadsheetml/2006/main" count="188" uniqueCount="73">
  <si>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</si>
  <si>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</si>
  <si>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</si>
  <si>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</si>
  <si>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</si>
  <si>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</si>
  <si>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</si>
  <si>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</si>
  <si>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</si>
  <si>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</si>
  <si>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</si>
  <si>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</si>
  <si>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</si>
  <si>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</si>
  <si>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</si>
  <si>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</si>
  <si>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</si>
  <si>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</si>
  <si>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</si>
  <si>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</si>
  <si>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</si>
  <si>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</si>
  <si>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</si>
  <si>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</si>
  <si>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</si>
  <si>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</si>
  <si>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</si>
  <si>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</si>
  <si>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</si>
  <si>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</si>
  <si>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</si>
  <si>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</si>
  <si>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</si>
  <si>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</si>
  <si>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</si>
  <si>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</si>
  <si>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</si>
  <si>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</si>
  <si>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</si>
  <si>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</si>
  <si>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№82-2015г.</t>
  </si>
  <si>
    <t>Борщ с капустой и картофелем со сметаной и зеленью</t>
  </si>
  <si>
    <t>ТТК №48</t>
  </si>
  <si>
    <t>№302-2015г.</t>
  </si>
  <si>
    <t>Каша рассыпчатая гречневая</t>
  </si>
  <si>
    <t>35/35</t>
  </si>
  <si>
    <t>Напиток</t>
  </si>
  <si>
    <t>ПР</t>
  </si>
  <si>
    <t>200</t>
  </si>
  <si>
    <t>Кондитерское изделие</t>
  </si>
  <si>
    <t>Закуска</t>
  </si>
  <si>
    <t>№269-2015г.</t>
  </si>
  <si>
    <t>Котлета "Особая" из говядины и свинины</t>
  </si>
  <si>
    <t>Молочный коктейль "Авишка" 2,5%</t>
  </si>
  <si>
    <t>ТТК №10</t>
  </si>
  <si>
    <t>Пирог "Витаминный"</t>
  </si>
  <si>
    <t>40/40</t>
  </si>
  <si>
    <t>№2-2015г.</t>
  </si>
  <si>
    <t>Бутерброд с маслом сливочным</t>
  </si>
  <si>
    <t>№321-2015г.</t>
  </si>
  <si>
    <t>Капуста тушёная</t>
  </si>
  <si>
    <t>№422-2015г.</t>
  </si>
  <si>
    <t>Булочка ванильная</t>
  </si>
  <si>
    <t>Филе индейки тушёное</t>
  </si>
  <si>
    <t>18/18</t>
  </si>
  <si>
    <t>250/2</t>
  </si>
  <si>
    <t>Напиток (сладкое блюдо)</t>
  </si>
  <si>
    <t>№349-2015г.</t>
  </si>
  <si>
    <t>Компот из смеси сухофруктов</t>
  </si>
  <si>
    <t>Печенье "Лимонное"</t>
  </si>
  <si>
    <t>42/2,1</t>
  </si>
  <si>
    <t>3/28,5</t>
  </si>
  <si>
    <t>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</si>
</sst>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2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2" fontId="2" fillId="0" borderId="36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4" workbookViewId="0">
      <selection activeCell="B15" sqref="B15:J20"/>
    </sheetView>
  </sheetViews>
  <sheetFormatPr defaultRowHeight="15" x14ac:dyDescent="0.25"/>
  <cols>
    <col min="1" max="1" width="17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4" t="s">
        <v>22</v>
      </c>
      <c r="C1" s="55"/>
      <c r="D1" s="1" t="s">
        <v>1</v>
      </c>
      <c r="E1" s="33"/>
      <c r="F1" s="1" t="s">
        <v>2</v>
      </c>
      <c r="G1" s="56">
        <v>44635</v>
      </c>
      <c r="H1" s="57"/>
      <c r="I1" s="57"/>
      <c r="J1" s="58"/>
      <c r="K1" s="1"/>
      <c r="L1" s="1"/>
    </row>
    <row r="2" spans="1:12" ht="15.75" thickBot="1" x14ac:dyDescent="0.3">
      <c r="A2" s="40" t="s">
        <v>3</v>
      </c>
      <c r="B2" s="5" t="s">
        <v>4</v>
      </c>
      <c r="C2" s="42" t="s">
        <v>5</v>
      </c>
      <c r="D2" s="44" t="s">
        <v>6</v>
      </c>
      <c r="E2" s="44" t="s">
        <v>7</v>
      </c>
      <c r="F2" s="44" t="s">
        <v>8</v>
      </c>
      <c r="G2" s="5" t="s">
        <v>9</v>
      </c>
      <c r="H2" s="5" t="s">
        <v>10</v>
      </c>
      <c r="I2" s="5" t="s">
        <v>11</v>
      </c>
      <c r="J2" s="41" t="s">
        <v>12</v>
      </c>
    </row>
    <row r="3" spans="1:12" s="39" customFormat="1" x14ac:dyDescent="0.25">
      <c r="A3" s="68" t="s">
        <v>27</v>
      </c>
      <c r="B3" s="21" t="s">
        <v>13</v>
      </c>
      <c r="C3" s="22" t="s">
        <v>51</v>
      </c>
      <c r="D3" s="22" t="s">
        <v>52</v>
      </c>
      <c r="E3" s="14">
        <v>65</v>
      </c>
      <c r="F3" s="15">
        <v>42.85</v>
      </c>
      <c r="G3" s="15">
        <f>140/50*65</f>
        <v>182</v>
      </c>
      <c r="H3" s="15">
        <f>7.83/50*65</f>
        <v>10.178999999999998</v>
      </c>
      <c r="I3" s="15">
        <f>8.95/50*65</f>
        <v>11.635</v>
      </c>
      <c r="J3" s="16">
        <f>6.6/50*65</f>
        <v>8.58</v>
      </c>
    </row>
    <row r="4" spans="1:12" x14ac:dyDescent="0.25">
      <c r="A4" s="69"/>
      <c r="B4" s="8" t="s">
        <v>17</v>
      </c>
      <c r="C4" s="6" t="s">
        <v>59</v>
      </c>
      <c r="D4" s="6" t="s">
        <v>60</v>
      </c>
      <c r="E4" s="17">
        <v>120</v>
      </c>
      <c r="F4" s="7">
        <v>22.8</v>
      </c>
      <c r="G4" s="7">
        <f>751*0.12</f>
        <v>90.11999999999999</v>
      </c>
      <c r="H4" s="7">
        <f>20.65*0.12</f>
        <v>2.4779999999999998</v>
      </c>
      <c r="I4" s="7">
        <f>32.37*0.12</f>
        <v>3.8843999999999994</v>
      </c>
      <c r="J4" s="9">
        <f>94.27*0.12</f>
        <v>11.312399999999998</v>
      </c>
    </row>
    <row r="5" spans="1:12" s="39" customFormat="1" x14ac:dyDescent="0.25">
      <c r="A5" s="69"/>
      <c r="B5" s="8" t="s">
        <v>18</v>
      </c>
      <c r="C5" s="6" t="s">
        <v>19</v>
      </c>
      <c r="D5" s="6" t="s">
        <v>20</v>
      </c>
      <c r="E5" s="17" t="s">
        <v>33</v>
      </c>
      <c r="F5" s="7">
        <v>3.09</v>
      </c>
      <c r="G5" s="7">
        <v>60</v>
      </c>
      <c r="H5" s="7">
        <v>7.0000000000000007E-2</v>
      </c>
      <c r="I5" s="7">
        <v>0.02</v>
      </c>
      <c r="J5" s="9">
        <v>15</v>
      </c>
      <c r="K5"/>
    </row>
    <row r="6" spans="1:12" s="37" customFormat="1" x14ac:dyDescent="0.25">
      <c r="A6" s="69"/>
      <c r="B6" s="8" t="s">
        <v>21</v>
      </c>
      <c r="C6" s="6" t="s">
        <v>61</v>
      </c>
      <c r="D6" s="6" t="s">
        <v>62</v>
      </c>
      <c r="E6" s="17">
        <v>50</v>
      </c>
      <c r="F6" s="7">
        <v>4.21</v>
      </c>
      <c r="G6" s="80">
        <v>141.5</v>
      </c>
      <c r="H6" s="80">
        <v>3.95</v>
      </c>
      <c r="I6" s="80">
        <v>4.0599999999999996</v>
      </c>
      <c r="J6" s="81">
        <v>22.24</v>
      </c>
      <c r="K6"/>
    </row>
    <row r="7" spans="1:12" ht="15.75" thickBot="1" x14ac:dyDescent="0.3">
      <c r="A7" s="70"/>
      <c r="B7" s="10" t="s">
        <v>14</v>
      </c>
      <c r="C7" s="11" t="s">
        <v>31</v>
      </c>
      <c r="D7" s="11" t="s">
        <v>32</v>
      </c>
      <c r="E7" s="18">
        <v>43.5</v>
      </c>
      <c r="F7" s="19">
        <v>1.78</v>
      </c>
      <c r="G7" s="19">
        <f>229.7*0.435</f>
        <v>99.919499999999999</v>
      </c>
      <c r="H7" s="12">
        <f>6.7*0.435</f>
        <v>2.9144999999999999</v>
      </c>
      <c r="I7" s="12">
        <f>1.1*0.435</f>
        <v>0.47850000000000004</v>
      </c>
      <c r="J7" s="13">
        <f>48.3*0.435</f>
        <v>21.0105</v>
      </c>
    </row>
    <row r="8" spans="1:12" ht="16.5" thickBot="1" x14ac:dyDescent="0.3">
      <c r="A8" s="51" t="s">
        <v>15</v>
      </c>
      <c r="B8" s="62"/>
      <c r="C8" s="62"/>
      <c r="D8" s="62"/>
      <c r="E8" s="63"/>
      <c r="F8" s="20">
        <f>SUM(F3:F7)</f>
        <v>74.73</v>
      </c>
      <c r="G8" s="20">
        <f>SUM(G3:G7)</f>
        <v>573.53949999999998</v>
      </c>
      <c r="H8" s="20">
        <f>SUM(H3:H7)</f>
        <v>19.5915</v>
      </c>
      <c r="I8" s="20">
        <f>SUM(I3:I7)</f>
        <v>20.0779</v>
      </c>
      <c r="J8" s="20">
        <f>SUM(J3:J7)</f>
        <v>78.142899999999997</v>
      </c>
    </row>
    <row r="9" spans="1:12" ht="30" x14ac:dyDescent="0.25">
      <c r="A9" s="49" t="s">
        <v>28</v>
      </c>
      <c r="B9" s="21" t="s">
        <v>16</v>
      </c>
      <c r="C9" s="22" t="s">
        <v>40</v>
      </c>
      <c r="D9" s="22" t="s">
        <v>41</v>
      </c>
      <c r="E9" s="14" t="s">
        <v>65</v>
      </c>
      <c r="F9" s="15">
        <v>13.93</v>
      </c>
      <c r="G9" s="15">
        <f>415*0.25+162*0</f>
        <v>103.75</v>
      </c>
      <c r="H9" s="15">
        <f>7.21*0.25+2.6*0</f>
        <v>1.8025</v>
      </c>
      <c r="I9" s="15">
        <f>19.68*0.25+15*0</f>
        <v>4.92</v>
      </c>
      <c r="J9" s="16">
        <f>43.73*0.25+3.6*0</f>
        <v>10.932499999999999</v>
      </c>
      <c r="K9"/>
    </row>
    <row r="10" spans="1:12" x14ac:dyDescent="0.25">
      <c r="A10" s="50"/>
      <c r="B10" s="8" t="s">
        <v>13</v>
      </c>
      <c r="C10" s="6" t="s">
        <v>42</v>
      </c>
      <c r="D10" s="6" t="s">
        <v>63</v>
      </c>
      <c r="E10" s="17" t="s">
        <v>64</v>
      </c>
      <c r="F10" s="7">
        <v>16.45</v>
      </c>
      <c r="G10" s="29">
        <f>151.2*0.36</f>
        <v>54.431999999999995</v>
      </c>
      <c r="H10" s="29">
        <f>15.6*0.36</f>
        <v>5.6159999999999997</v>
      </c>
      <c r="I10" s="29">
        <f>8.4*0.36</f>
        <v>3.024</v>
      </c>
      <c r="J10" s="30">
        <f>3.3*0.36</f>
        <v>1.1879999999999999</v>
      </c>
      <c r="K10"/>
    </row>
    <row r="11" spans="1:12" x14ac:dyDescent="0.25">
      <c r="A11" s="50"/>
      <c r="B11" s="8" t="s">
        <v>17</v>
      </c>
      <c r="C11" s="6" t="s">
        <v>43</v>
      </c>
      <c r="D11" s="6" t="s">
        <v>44</v>
      </c>
      <c r="E11" s="17">
        <v>80</v>
      </c>
      <c r="F11" s="7">
        <v>9.25</v>
      </c>
      <c r="G11" s="31">
        <f>1625*0.08</f>
        <v>130</v>
      </c>
      <c r="H11" s="31">
        <f>57.32*0.08</f>
        <v>4.5856000000000003</v>
      </c>
      <c r="I11" s="31">
        <f>40.62*0.08</f>
        <v>3.2496</v>
      </c>
      <c r="J11" s="32">
        <f>257.61*0.08</f>
        <v>20.608800000000002</v>
      </c>
      <c r="K11"/>
    </row>
    <row r="12" spans="1:12" x14ac:dyDescent="0.25">
      <c r="A12" s="50"/>
      <c r="B12" s="8" t="s">
        <v>18</v>
      </c>
      <c r="C12" s="6" t="s">
        <v>19</v>
      </c>
      <c r="D12" s="6" t="s">
        <v>20</v>
      </c>
      <c r="E12" s="17" t="s">
        <v>33</v>
      </c>
      <c r="F12" s="7">
        <v>3.09</v>
      </c>
      <c r="G12" s="7">
        <v>60</v>
      </c>
      <c r="H12" s="7">
        <v>7.0000000000000007E-2</v>
      </c>
      <c r="I12" s="7">
        <v>0.02</v>
      </c>
      <c r="J12" s="9">
        <v>15</v>
      </c>
      <c r="K12"/>
    </row>
    <row r="13" spans="1:12" ht="15.75" thickBot="1" x14ac:dyDescent="0.3">
      <c r="A13" s="50"/>
      <c r="B13" s="10" t="s">
        <v>14</v>
      </c>
      <c r="C13" s="11" t="s">
        <v>31</v>
      </c>
      <c r="D13" s="11" t="s">
        <v>32</v>
      </c>
      <c r="E13" s="18">
        <v>42</v>
      </c>
      <c r="F13" s="19">
        <v>1.71</v>
      </c>
      <c r="G13" s="19">
        <f>229.7*0.42</f>
        <v>96.47399999999999</v>
      </c>
      <c r="H13" s="12">
        <f>6.7*0.42</f>
        <v>2.8140000000000001</v>
      </c>
      <c r="I13" s="12">
        <f>1.1*0.42</f>
        <v>0.46200000000000002</v>
      </c>
      <c r="J13" s="13">
        <f>48.3*0.42</f>
        <v>20.285999999999998</v>
      </c>
    </row>
    <row r="14" spans="1:12" ht="16.5" thickBot="1" x14ac:dyDescent="0.3">
      <c r="A14" s="64" t="s">
        <v>15</v>
      </c>
      <c r="B14" s="82"/>
      <c r="C14" s="82"/>
      <c r="D14" s="82"/>
      <c r="E14" s="83"/>
      <c r="F14" s="84">
        <f>SUM(F9:F13)</f>
        <v>44.43</v>
      </c>
      <c r="G14" s="84">
        <f t="shared" ref="G14:J14" si="0">SUM(G9:G13)</f>
        <v>444.65600000000001</v>
      </c>
      <c r="H14" s="84">
        <f>SUM(H9:H13)</f>
        <v>14.888100000000001</v>
      </c>
      <c r="I14" s="84">
        <f t="shared" si="0"/>
        <v>11.675599999999999</v>
      </c>
      <c r="J14" s="84">
        <f t="shared" si="0"/>
        <v>68.015299999999996</v>
      </c>
    </row>
    <row r="15" spans="1:12" ht="30" x14ac:dyDescent="0.25">
      <c r="A15" s="50" t="s">
        <v>29</v>
      </c>
      <c r="B15" s="21" t="s">
        <v>16</v>
      </c>
      <c r="C15" s="22" t="s">
        <v>40</v>
      </c>
      <c r="D15" s="22" t="s">
        <v>41</v>
      </c>
      <c r="E15" s="14" t="s">
        <v>34</v>
      </c>
      <c r="F15" s="15">
        <v>16.71</v>
      </c>
      <c r="G15" s="15">
        <f>415*0.25+162*0.1</f>
        <v>119.95</v>
      </c>
      <c r="H15" s="15">
        <f>7.21*0.25+2.6*0.1</f>
        <v>2.0625</v>
      </c>
      <c r="I15" s="15">
        <f>19.68*0.25+15*0.1</f>
        <v>6.42</v>
      </c>
      <c r="J15" s="16">
        <f>43.73*0.25+3.6*0.1</f>
        <v>11.292499999999999</v>
      </c>
    </row>
    <row r="16" spans="1:12" x14ac:dyDescent="0.25">
      <c r="A16" s="50"/>
      <c r="B16" s="8" t="s">
        <v>13</v>
      </c>
      <c r="C16" s="6" t="s">
        <v>42</v>
      </c>
      <c r="D16" s="6" t="s">
        <v>63</v>
      </c>
      <c r="E16" s="17" t="s">
        <v>56</v>
      </c>
      <c r="F16" s="7">
        <v>36.57</v>
      </c>
      <c r="G16" s="29">
        <f>151.2*0.8</f>
        <v>120.96</v>
      </c>
      <c r="H16" s="29">
        <f>15.6*0.8</f>
        <v>12.48</v>
      </c>
      <c r="I16" s="29">
        <f>8.4*0.8</f>
        <v>6.7200000000000006</v>
      </c>
      <c r="J16" s="30">
        <f>3.3*0.8</f>
        <v>2.64</v>
      </c>
      <c r="K16"/>
    </row>
    <row r="17" spans="1:11" s="37" customFormat="1" x14ac:dyDescent="0.25">
      <c r="A17" s="50"/>
      <c r="B17" s="8" t="s">
        <v>17</v>
      </c>
      <c r="C17" s="6" t="s">
        <v>43</v>
      </c>
      <c r="D17" s="6" t="s">
        <v>44</v>
      </c>
      <c r="E17" s="17">
        <v>100</v>
      </c>
      <c r="F17" s="7">
        <v>11.56</v>
      </c>
      <c r="G17" s="31">
        <f>1625*0.1</f>
        <v>162.5</v>
      </c>
      <c r="H17" s="31">
        <f>57.32*0.1</f>
        <v>5.7320000000000002</v>
      </c>
      <c r="I17" s="31">
        <f>40.62*0.1</f>
        <v>4.0620000000000003</v>
      </c>
      <c r="J17" s="32">
        <f>257.61*0.1</f>
        <v>25.761000000000003</v>
      </c>
      <c r="K17"/>
    </row>
    <row r="18" spans="1:11" s="39" customFormat="1" x14ac:dyDescent="0.25">
      <c r="A18" s="50"/>
      <c r="B18" s="8" t="s">
        <v>66</v>
      </c>
      <c r="C18" s="6" t="s">
        <v>67</v>
      </c>
      <c r="D18" s="6" t="s">
        <v>68</v>
      </c>
      <c r="E18" s="17">
        <v>200</v>
      </c>
      <c r="F18" s="7">
        <v>6.53</v>
      </c>
      <c r="G18" s="7">
        <v>132.80000000000001</v>
      </c>
      <c r="H18" s="29">
        <v>0.66</v>
      </c>
      <c r="I18" s="29">
        <v>0.09</v>
      </c>
      <c r="J18" s="30">
        <v>32.01</v>
      </c>
    </row>
    <row r="19" spans="1:11" s="43" customFormat="1" x14ac:dyDescent="0.25">
      <c r="A19" s="50"/>
      <c r="B19" s="8" t="s">
        <v>49</v>
      </c>
      <c r="C19" s="6" t="s">
        <v>47</v>
      </c>
      <c r="D19" s="6" t="s">
        <v>69</v>
      </c>
      <c r="E19" s="17">
        <v>12</v>
      </c>
      <c r="F19" s="7">
        <v>2.67</v>
      </c>
      <c r="G19" s="80">
        <f>480*0.12</f>
        <v>57.599999999999994</v>
      </c>
      <c r="H19" s="80">
        <f>9*0.12</f>
        <v>1.08</v>
      </c>
      <c r="I19" s="80">
        <f>18*0.12</f>
        <v>2.16</v>
      </c>
      <c r="J19" s="81">
        <f>70*0.12</f>
        <v>8.4</v>
      </c>
      <c r="K19"/>
    </row>
    <row r="20" spans="1:11" s="38" customFormat="1" ht="15.75" thickBot="1" x14ac:dyDescent="0.3">
      <c r="A20" s="67"/>
      <c r="B20" s="10" t="s">
        <v>14</v>
      </c>
      <c r="C20" s="11" t="s">
        <v>31</v>
      </c>
      <c r="D20" s="11" t="s">
        <v>32</v>
      </c>
      <c r="E20" s="18">
        <v>17</v>
      </c>
      <c r="F20" s="19">
        <v>0.69</v>
      </c>
      <c r="G20" s="19">
        <f>229.7*0.17</f>
        <v>39.048999999999999</v>
      </c>
      <c r="H20" s="12">
        <f>6.7*0.17</f>
        <v>1.139</v>
      </c>
      <c r="I20" s="12">
        <f>1.1*0.17</f>
        <v>0.18700000000000003</v>
      </c>
      <c r="J20" s="13">
        <f>48.3*0.17</f>
        <v>8.2110000000000003</v>
      </c>
    </row>
    <row r="21" spans="1:11" ht="16.5" thickBot="1" x14ac:dyDescent="0.3">
      <c r="A21" s="51" t="s">
        <v>15</v>
      </c>
      <c r="B21" s="62"/>
      <c r="C21" s="62"/>
      <c r="D21" s="62"/>
      <c r="E21" s="63"/>
      <c r="F21" s="20">
        <f>SUM(F15:F20)</f>
        <v>74.73</v>
      </c>
      <c r="G21" s="20">
        <f>SUM(G15:G20)</f>
        <v>632.85900000000004</v>
      </c>
      <c r="H21" s="20">
        <f>SUM(H15:H20)</f>
        <v>23.153499999999998</v>
      </c>
      <c r="I21" s="20">
        <f>SUM(I15:I20)</f>
        <v>19.639000000000003</v>
      </c>
      <c r="J21" s="20">
        <f>SUM(J15:J20)</f>
        <v>88.314499999999995</v>
      </c>
      <c r="K21"/>
    </row>
    <row r="22" spans="1:11" x14ac:dyDescent="0.25">
      <c r="A22" s="49" t="s">
        <v>30</v>
      </c>
      <c r="B22" s="21" t="s">
        <v>46</v>
      </c>
      <c r="C22" s="22" t="s">
        <v>47</v>
      </c>
      <c r="D22" s="22" t="s">
        <v>53</v>
      </c>
      <c r="E22" s="24" t="s">
        <v>48</v>
      </c>
      <c r="F22" s="25">
        <v>37.24</v>
      </c>
      <c r="G22" s="27">
        <v>160</v>
      </c>
      <c r="H22" s="27">
        <v>5</v>
      </c>
      <c r="I22" s="27">
        <v>6.2</v>
      </c>
      <c r="J22" s="28">
        <v>22</v>
      </c>
      <c r="K22"/>
    </row>
    <row r="23" spans="1:11" s="38" customFormat="1" ht="15.75" thickBot="1" x14ac:dyDescent="0.3">
      <c r="A23" s="50"/>
      <c r="B23" s="10" t="s">
        <v>21</v>
      </c>
      <c r="C23" s="11" t="s">
        <v>54</v>
      </c>
      <c r="D23" s="11" t="s">
        <v>55</v>
      </c>
      <c r="E23" s="18" t="s">
        <v>70</v>
      </c>
      <c r="F23" s="19">
        <v>7.29</v>
      </c>
      <c r="G23" s="19">
        <f>207.5*0.42</f>
        <v>87.149999999999991</v>
      </c>
      <c r="H23" s="12">
        <f>4.3*0.42</f>
        <v>1.8059999999999998</v>
      </c>
      <c r="I23" s="12">
        <f>2.8*0.42</f>
        <v>1.1759999999999999</v>
      </c>
      <c r="J23" s="13">
        <f>41.4*0.42</f>
        <v>17.387999999999998</v>
      </c>
      <c r="K23"/>
    </row>
    <row r="24" spans="1:11" ht="16.5" thickBot="1" x14ac:dyDescent="0.3">
      <c r="A24" s="51" t="s">
        <v>15</v>
      </c>
      <c r="B24" s="52"/>
      <c r="C24" s="52"/>
      <c r="D24" s="52"/>
      <c r="E24" s="53"/>
      <c r="F24" s="3">
        <f>SUM(F22:F23)</f>
        <v>44.53</v>
      </c>
      <c r="G24" s="3">
        <f>SUM(G22:G23)</f>
        <v>247.14999999999998</v>
      </c>
      <c r="H24" s="3">
        <f>SUM(H22:H23)</f>
        <v>6.806</v>
      </c>
      <c r="I24" s="3">
        <f>SUM(I22:I23)</f>
        <v>7.3760000000000003</v>
      </c>
      <c r="J24" s="3">
        <f>SUM(J22:J23)</f>
        <v>39.387999999999998</v>
      </c>
      <c r="K24"/>
    </row>
    <row r="26" spans="1:11" ht="15.75" thickBot="1" x14ac:dyDescent="0.3">
      <c r="A26" s="60" t="s">
        <v>25</v>
      </c>
      <c r="B26" s="60"/>
      <c r="C26" s="60"/>
      <c r="D26" s="60"/>
      <c r="E26" s="60"/>
      <c r="F26" s="60"/>
      <c r="G26" s="60"/>
      <c r="H26" s="60"/>
      <c r="I26" s="60"/>
      <c r="J26" s="60"/>
    </row>
    <row r="27" spans="1:11" ht="15.75" x14ac:dyDescent="0.25">
      <c r="A27" s="26"/>
      <c r="B27" s="26"/>
      <c r="C27" s="59" t="s">
        <v>23</v>
      </c>
      <c r="D27" s="59"/>
      <c r="G27" s="61"/>
      <c r="H27" s="61"/>
      <c r="I27" s="61"/>
      <c r="J27" s="61"/>
    </row>
    <row r="28" spans="1:11" x14ac:dyDescent="0.25">
      <c r="A28" s="1"/>
      <c r="B28" s="1"/>
      <c r="C28" s="1"/>
      <c r="D28" s="1"/>
    </row>
    <row r="29" spans="1:11" x14ac:dyDescent="0.25">
      <c r="A29" s="48" t="s">
        <v>24</v>
      </c>
      <c r="B29" s="48"/>
    </row>
    <row r="30" spans="1:11" x14ac:dyDescent="0.25">
      <c r="A30" s="48" t="s">
        <v>26</v>
      </c>
      <c r="B30" s="48"/>
    </row>
    <row r="31" spans="1:11" x14ac:dyDescent="0.25">
      <c r="A31" s="4"/>
    </row>
  </sheetData>
  <mergeCells count="15">
    <mergeCell ref="G1:J1"/>
    <mergeCell ref="C27:D27"/>
    <mergeCell ref="A26:J26"/>
    <mergeCell ref="G27:J27"/>
    <mergeCell ref="A8:E8"/>
    <mergeCell ref="A9:A13"/>
    <mergeCell ref="A14:E14"/>
    <mergeCell ref="A15:A20"/>
    <mergeCell ref="A21:E21"/>
    <mergeCell ref="A3:A7"/>
    <mergeCell ref="A29:B29"/>
    <mergeCell ref="A30:B30"/>
    <mergeCell ref="A22:A23"/>
    <mergeCell ref="A24:E24"/>
    <mergeCell ref="B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0" workbookViewId="0">
      <selection activeCell="E27" sqref="E27"/>
    </sheetView>
  </sheetViews>
  <sheetFormatPr defaultRowHeight="15" x14ac:dyDescent="0.25"/>
  <cols>
    <col min="1" max="1" width="25.7109375" style="2" customWidth="1"/>
    <col min="2" max="2" width="25" style="2" customWidth="1"/>
    <col min="3" max="3" width="12.28515625" style="2" customWidth="1"/>
    <col min="4" max="4" width="44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3" t="s">
        <v>22</v>
      </c>
      <c r="C1" s="74"/>
      <c r="D1" s="1" t="s">
        <v>1</v>
      </c>
      <c r="E1" s="33"/>
      <c r="F1" s="1" t="s">
        <v>2</v>
      </c>
      <c r="G1" s="75">
        <v>44635</v>
      </c>
      <c r="H1" s="76"/>
      <c r="I1" s="76"/>
      <c r="J1" s="76"/>
      <c r="K1" s="1"/>
      <c r="L1" s="1"/>
    </row>
    <row r="2" spans="1:12" ht="15.75" thickBot="1" x14ac:dyDescent="0.3">
      <c r="A2" s="40" t="s">
        <v>3</v>
      </c>
      <c r="B2" s="34" t="s">
        <v>4</v>
      </c>
      <c r="C2" s="35" t="s">
        <v>5</v>
      </c>
      <c r="D2" s="35" t="s">
        <v>6</v>
      </c>
      <c r="E2" s="35" t="s">
        <v>7</v>
      </c>
      <c r="F2" s="35" t="s">
        <v>8</v>
      </c>
      <c r="G2" s="35" t="s">
        <v>9</v>
      </c>
      <c r="H2" s="35" t="s">
        <v>10</v>
      </c>
      <c r="I2" s="35" t="s">
        <v>11</v>
      </c>
      <c r="J2" s="36" t="s">
        <v>12</v>
      </c>
    </row>
    <row r="3" spans="1:12" s="39" customFormat="1" x14ac:dyDescent="0.25">
      <c r="A3" s="77" t="s">
        <v>35</v>
      </c>
      <c r="B3" s="8" t="s">
        <v>13</v>
      </c>
      <c r="C3" s="6" t="s">
        <v>51</v>
      </c>
      <c r="D3" s="6" t="s">
        <v>52</v>
      </c>
      <c r="E3" s="17">
        <v>60</v>
      </c>
      <c r="F3" s="7">
        <v>39.549999999999997</v>
      </c>
      <c r="G3" s="7">
        <f>140/50*60</f>
        <v>168</v>
      </c>
      <c r="H3" s="7">
        <f>7.83/50*60</f>
        <v>9.395999999999999</v>
      </c>
      <c r="I3" s="7">
        <f>8.95/50*60</f>
        <v>10.74</v>
      </c>
      <c r="J3" s="9">
        <f>6.6/50*60</f>
        <v>7.92</v>
      </c>
    </row>
    <row r="4" spans="1:12" ht="15" customHeight="1" x14ac:dyDescent="0.25">
      <c r="A4" s="78"/>
      <c r="B4" s="8" t="s">
        <v>17</v>
      </c>
      <c r="C4" s="6" t="s">
        <v>59</v>
      </c>
      <c r="D4" s="6" t="s">
        <v>60</v>
      </c>
      <c r="E4" s="17">
        <v>110</v>
      </c>
      <c r="F4" s="7">
        <v>20.9</v>
      </c>
      <c r="G4" s="7">
        <f>751*0.11</f>
        <v>82.61</v>
      </c>
      <c r="H4" s="7">
        <f>20.65*0.11</f>
        <v>2.2715000000000001</v>
      </c>
      <c r="I4" s="7">
        <f>32.37*0.11</f>
        <v>3.5606999999999998</v>
      </c>
      <c r="J4" s="9">
        <f>94.27*0.11</f>
        <v>10.3697</v>
      </c>
    </row>
    <row r="5" spans="1:12" s="37" customFormat="1" x14ac:dyDescent="0.25">
      <c r="A5" s="78"/>
      <c r="B5" s="8" t="s">
        <v>18</v>
      </c>
      <c r="C5" s="6" t="s">
        <v>19</v>
      </c>
      <c r="D5" s="6" t="s">
        <v>20</v>
      </c>
      <c r="E5" s="17" t="s">
        <v>33</v>
      </c>
      <c r="F5" s="7">
        <v>3.09</v>
      </c>
      <c r="G5" s="7">
        <v>60</v>
      </c>
      <c r="H5" s="7">
        <v>7.0000000000000007E-2</v>
      </c>
      <c r="I5" s="7">
        <v>0.02</v>
      </c>
      <c r="J5" s="9">
        <v>15</v>
      </c>
    </row>
    <row r="6" spans="1:12" x14ac:dyDescent="0.25">
      <c r="A6" s="78"/>
      <c r="B6" s="8" t="s">
        <v>21</v>
      </c>
      <c r="C6" s="6" t="s">
        <v>61</v>
      </c>
      <c r="D6" s="6" t="s">
        <v>62</v>
      </c>
      <c r="E6" s="17">
        <v>50</v>
      </c>
      <c r="F6" s="7">
        <v>4.21</v>
      </c>
      <c r="G6" s="80">
        <v>141.5</v>
      </c>
      <c r="H6" s="80">
        <v>3.95</v>
      </c>
      <c r="I6" s="80">
        <v>4.0599999999999996</v>
      </c>
      <c r="J6" s="81">
        <v>22.24</v>
      </c>
    </row>
    <row r="7" spans="1:12" ht="15.75" thickBot="1" x14ac:dyDescent="0.3">
      <c r="A7" s="78"/>
      <c r="B7" s="10" t="s">
        <v>14</v>
      </c>
      <c r="C7" s="11" t="s">
        <v>31</v>
      </c>
      <c r="D7" s="11" t="s">
        <v>32</v>
      </c>
      <c r="E7" s="18">
        <v>43</v>
      </c>
      <c r="F7" s="19">
        <v>1.75</v>
      </c>
      <c r="G7" s="19">
        <f>229.7*0.43</f>
        <v>98.770999999999987</v>
      </c>
      <c r="H7" s="12">
        <f>6.7*0.43</f>
        <v>2.8810000000000002</v>
      </c>
      <c r="I7" s="12">
        <f>1.1*0.43</f>
        <v>0.47300000000000003</v>
      </c>
      <c r="J7" s="13">
        <f>48.3*0.43</f>
        <v>20.768999999999998</v>
      </c>
    </row>
    <row r="8" spans="1:12" ht="16.5" thickBot="1" x14ac:dyDescent="0.3">
      <c r="A8" s="51" t="s">
        <v>15</v>
      </c>
      <c r="B8" s="62"/>
      <c r="C8" s="62"/>
      <c r="D8" s="62"/>
      <c r="E8" s="63"/>
      <c r="F8" s="20">
        <f>SUM(F3:F7)</f>
        <v>69.499999999999986</v>
      </c>
      <c r="G8" s="20">
        <f>SUM(G3:G7)</f>
        <v>550.88099999999997</v>
      </c>
      <c r="H8" s="20">
        <f>SUM(H3:H7)</f>
        <v>18.5685</v>
      </c>
      <c r="I8" s="20">
        <f>SUM(I3:I7)</f>
        <v>18.853699999999996</v>
      </c>
      <c r="J8" s="20">
        <f>SUM(J3:J7)</f>
        <v>76.298699999999997</v>
      </c>
    </row>
    <row r="9" spans="1:12" s="39" customFormat="1" x14ac:dyDescent="0.25">
      <c r="A9" s="79" t="s">
        <v>36</v>
      </c>
      <c r="B9" s="21" t="s">
        <v>17</v>
      </c>
      <c r="C9" s="22" t="s">
        <v>59</v>
      </c>
      <c r="D9" s="22" t="s">
        <v>60</v>
      </c>
      <c r="E9" s="14">
        <v>120</v>
      </c>
      <c r="F9" s="15">
        <v>22.8</v>
      </c>
      <c r="G9" s="15">
        <f>751*0.12</f>
        <v>90.11999999999999</v>
      </c>
      <c r="H9" s="15">
        <f>20.65*0.12</f>
        <v>2.4779999999999998</v>
      </c>
      <c r="I9" s="15">
        <f>32.37*0.12</f>
        <v>3.8843999999999994</v>
      </c>
      <c r="J9" s="16">
        <f>94.27*0.12</f>
        <v>11.312399999999998</v>
      </c>
    </row>
    <row r="10" spans="1:12" s="39" customFormat="1" x14ac:dyDescent="0.25">
      <c r="A10" s="69"/>
      <c r="B10" s="8" t="s">
        <v>18</v>
      </c>
      <c r="C10" s="6" t="s">
        <v>19</v>
      </c>
      <c r="D10" s="6" t="s">
        <v>20</v>
      </c>
      <c r="E10" s="17" t="s">
        <v>33</v>
      </c>
      <c r="F10" s="7">
        <v>3.09</v>
      </c>
      <c r="G10" s="7">
        <v>60</v>
      </c>
      <c r="H10" s="7">
        <v>7.0000000000000007E-2</v>
      </c>
      <c r="I10" s="7">
        <v>0.02</v>
      </c>
      <c r="J10" s="9">
        <v>15</v>
      </c>
    </row>
    <row r="11" spans="1:12" ht="15.75" thickBot="1" x14ac:dyDescent="0.3">
      <c r="A11" s="70"/>
      <c r="B11" s="10" t="s">
        <v>14</v>
      </c>
      <c r="C11" s="11" t="s">
        <v>31</v>
      </c>
      <c r="D11" s="11" t="s">
        <v>32</v>
      </c>
      <c r="E11" s="18">
        <v>27</v>
      </c>
      <c r="F11" s="19">
        <v>1.1100000000000001</v>
      </c>
      <c r="G11" s="19">
        <f>229.7*0.27</f>
        <v>62.018999999999998</v>
      </c>
      <c r="H11" s="12">
        <f>6.7*0.27</f>
        <v>1.8090000000000002</v>
      </c>
      <c r="I11" s="12">
        <f>1.1*0.27</f>
        <v>0.29700000000000004</v>
      </c>
      <c r="J11" s="13">
        <f>48.3*0.27</f>
        <v>13.041</v>
      </c>
    </row>
    <row r="12" spans="1:12" ht="16.5" thickBot="1" x14ac:dyDescent="0.3">
      <c r="A12" s="51" t="s">
        <v>15</v>
      </c>
      <c r="B12" s="62"/>
      <c r="C12" s="62"/>
      <c r="D12" s="62"/>
      <c r="E12" s="63"/>
      <c r="F12" s="20">
        <f>SUM(F9:F11)</f>
        <v>27</v>
      </c>
      <c r="G12" s="20">
        <f>SUM(G9:G11)</f>
        <v>212.13900000000001</v>
      </c>
      <c r="H12" s="20">
        <f>SUM(H9:H11)</f>
        <v>4.3569999999999993</v>
      </c>
      <c r="I12" s="20">
        <f>SUM(I9:I11)</f>
        <v>4.2013999999999996</v>
      </c>
      <c r="J12" s="20">
        <f>SUM(J9:J11)</f>
        <v>39.353399999999993</v>
      </c>
    </row>
    <row r="13" spans="1:12" s="37" customFormat="1" ht="15.75" thickTop="1" x14ac:dyDescent="0.25">
      <c r="A13" s="71" t="s">
        <v>38</v>
      </c>
      <c r="B13" s="45" t="s">
        <v>50</v>
      </c>
      <c r="C13" s="46" t="s">
        <v>57</v>
      </c>
      <c r="D13" s="46" t="s">
        <v>58</v>
      </c>
      <c r="E13" s="24" t="s">
        <v>71</v>
      </c>
      <c r="F13" s="14">
        <v>3.91</v>
      </c>
      <c r="G13" s="15">
        <f>66*0.3+280*0.285</f>
        <v>99.6</v>
      </c>
      <c r="H13" s="15">
        <f>0.08*0.3+8*0.285</f>
        <v>2.3039999999999998</v>
      </c>
      <c r="I13" s="15">
        <f>7.25*0.3+3*0.285</f>
        <v>3.03</v>
      </c>
      <c r="J13" s="16">
        <f>0.13*0.3+54*0.285</f>
        <v>15.428999999999998</v>
      </c>
    </row>
    <row r="14" spans="1:12" s="37" customFormat="1" ht="15.75" thickBot="1" x14ac:dyDescent="0.3">
      <c r="A14" s="69"/>
      <c r="B14" s="10" t="s">
        <v>18</v>
      </c>
      <c r="C14" s="11" t="s">
        <v>19</v>
      </c>
      <c r="D14" s="11" t="s">
        <v>20</v>
      </c>
      <c r="E14" s="18" t="s">
        <v>33</v>
      </c>
      <c r="F14" s="19">
        <v>3.09</v>
      </c>
      <c r="G14" s="19">
        <v>60</v>
      </c>
      <c r="H14" s="19">
        <v>7.0000000000000007E-2</v>
      </c>
      <c r="I14" s="19">
        <v>0.02</v>
      </c>
      <c r="J14" s="47">
        <v>15</v>
      </c>
      <c r="K14"/>
    </row>
    <row r="15" spans="1:12" ht="16.5" thickBot="1" x14ac:dyDescent="0.3">
      <c r="A15" s="51" t="s">
        <v>15</v>
      </c>
      <c r="B15" s="62"/>
      <c r="C15" s="62"/>
      <c r="D15" s="62"/>
      <c r="E15" s="63"/>
      <c r="F15" s="20">
        <f>SUM(F13:F14)</f>
        <v>7</v>
      </c>
      <c r="G15" s="20">
        <f t="shared" ref="G15:J15" si="0">SUM(G13:G14)</f>
        <v>159.6</v>
      </c>
      <c r="H15" s="20">
        <f t="shared" si="0"/>
        <v>2.3739999999999997</v>
      </c>
      <c r="I15" s="20">
        <f t="shared" si="0"/>
        <v>3.05</v>
      </c>
      <c r="J15" s="20">
        <f t="shared" si="0"/>
        <v>30.428999999999998</v>
      </c>
    </row>
    <row r="16" spans="1:12" ht="30" x14ac:dyDescent="0.25">
      <c r="A16" s="49" t="s">
        <v>37</v>
      </c>
      <c r="B16" s="21" t="s">
        <v>16</v>
      </c>
      <c r="C16" s="22" t="s">
        <v>40</v>
      </c>
      <c r="D16" s="22" t="s">
        <v>41</v>
      </c>
      <c r="E16" s="14" t="s">
        <v>65</v>
      </c>
      <c r="F16" s="15">
        <v>13.93</v>
      </c>
      <c r="G16" s="15">
        <f>415*0.25+162*0</f>
        <v>103.75</v>
      </c>
      <c r="H16" s="15">
        <f>7.21*0.25+2.6*0</f>
        <v>1.8025</v>
      </c>
      <c r="I16" s="15">
        <f>19.68*0.25+15*0</f>
        <v>4.92</v>
      </c>
      <c r="J16" s="16">
        <f>43.73*0.25+3.6*0</f>
        <v>10.932499999999999</v>
      </c>
    </row>
    <row r="17" spans="1:11" x14ac:dyDescent="0.25">
      <c r="A17" s="50"/>
      <c r="B17" s="8" t="s">
        <v>13</v>
      </c>
      <c r="C17" s="6" t="s">
        <v>42</v>
      </c>
      <c r="D17" s="6" t="s">
        <v>63</v>
      </c>
      <c r="E17" s="17" t="s">
        <v>72</v>
      </c>
      <c r="F17" s="7">
        <v>18.28</v>
      </c>
      <c r="G17" s="29">
        <f>151.2*0.4</f>
        <v>60.48</v>
      </c>
      <c r="H17" s="29">
        <f>15.6*0.4</f>
        <v>6.24</v>
      </c>
      <c r="I17" s="29">
        <f>8.4*0.4</f>
        <v>3.3600000000000003</v>
      </c>
      <c r="J17" s="30">
        <f>3.3*0.4</f>
        <v>1.32</v>
      </c>
    </row>
    <row r="18" spans="1:11" x14ac:dyDescent="0.25">
      <c r="A18" s="50"/>
      <c r="B18" s="8" t="s">
        <v>17</v>
      </c>
      <c r="C18" s="6" t="s">
        <v>43</v>
      </c>
      <c r="D18" s="6" t="s">
        <v>44</v>
      </c>
      <c r="E18" s="17">
        <v>80</v>
      </c>
      <c r="F18" s="7">
        <v>9.25</v>
      </c>
      <c r="G18" s="31">
        <f>1625*0.08</f>
        <v>130</v>
      </c>
      <c r="H18" s="31">
        <f>57.32*0.08</f>
        <v>4.5856000000000003</v>
      </c>
      <c r="I18" s="31">
        <f>40.62*0.08</f>
        <v>3.2496</v>
      </c>
      <c r="J18" s="32">
        <f>257.61*0.08</f>
        <v>20.608800000000002</v>
      </c>
    </row>
    <row r="19" spans="1:11" x14ac:dyDescent="0.25">
      <c r="A19" s="50"/>
      <c r="B19" s="8" t="s">
        <v>18</v>
      </c>
      <c r="C19" s="6" t="s">
        <v>19</v>
      </c>
      <c r="D19" s="6" t="s">
        <v>20</v>
      </c>
      <c r="E19" s="17" t="s">
        <v>33</v>
      </c>
      <c r="F19" s="7">
        <v>3.09</v>
      </c>
      <c r="G19" s="7">
        <v>60</v>
      </c>
      <c r="H19" s="7">
        <v>7.0000000000000007E-2</v>
      </c>
      <c r="I19" s="7">
        <v>0.02</v>
      </c>
      <c r="J19" s="9">
        <v>15</v>
      </c>
    </row>
    <row r="20" spans="1:11" ht="15.75" thickBot="1" x14ac:dyDescent="0.3">
      <c r="A20" s="50"/>
      <c r="B20" s="10" t="s">
        <v>14</v>
      </c>
      <c r="C20" s="11" t="s">
        <v>31</v>
      </c>
      <c r="D20" s="11" t="s">
        <v>32</v>
      </c>
      <c r="E20" s="18">
        <v>11</v>
      </c>
      <c r="F20" s="19">
        <v>0.45</v>
      </c>
      <c r="G20" s="19">
        <f>229.7*0.11</f>
        <v>25.266999999999999</v>
      </c>
      <c r="H20" s="12">
        <f>6.7*0.11</f>
        <v>0.73699999999999999</v>
      </c>
      <c r="I20" s="12">
        <f>1.1*0.11</f>
        <v>0.12100000000000001</v>
      </c>
      <c r="J20" s="13">
        <f>48.3*0.11</f>
        <v>5.3129999999999997</v>
      </c>
    </row>
    <row r="21" spans="1:11" ht="16.5" thickBot="1" x14ac:dyDescent="0.3">
      <c r="A21" s="64" t="s">
        <v>15</v>
      </c>
      <c r="B21" s="65"/>
      <c r="C21" s="65"/>
      <c r="D21" s="65"/>
      <c r="E21" s="66"/>
      <c r="F21" s="23">
        <f>SUM(F16:F20)</f>
        <v>45</v>
      </c>
      <c r="G21" s="23">
        <f t="shared" ref="G21:J21" si="1">SUM(G16:G20)</f>
        <v>379.49700000000001</v>
      </c>
      <c r="H21" s="23">
        <f t="shared" si="1"/>
        <v>13.4351</v>
      </c>
      <c r="I21" s="23">
        <f t="shared" si="1"/>
        <v>11.670600000000002</v>
      </c>
      <c r="J21" s="23">
        <f t="shared" si="1"/>
        <v>53.174300000000002</v>
      </c>
    </row>
    <row r="22" spans="1:11" ht="30" x14ac:dyDescent="0.25">
      <c r="A22" s="72" t="s">
        <v>39</v>
      </c>
      <c r="B22" s="21" t="s">
        <v>16</v>
      </c>
      <c r="C22" s="22" t="s">
        <v>40</v>
      </c>
      <c r="D22" s="22" t="s">
        <v>41</v>
      </c>
      <c r="E22" s="14" t="s">
        <v>34</v>
      </c>
      <c r="F22" s="15">
        <v>16.71</v>
      </c>
      <c r="G22" s="15">
        <f>415*0.25+162*0.1</f>
        <v>119.95</v>
      </c>
      <c r="H22" s="15">
        <f>7.21*0.25+2.6*0.1</f>
        <v>2.0625</v>
      </c>
      <c r="I22" s="15">
        <f>19.68*0.25+15*0.1</f>
        <v>6.42</v>
      </c>
      <c r="J22" s="16">
        <f>43.73*0.25+3.6*0.1</f>
        <v>11.292499999999999</v>
      </c>
    </row>
    <row r="23" spans="1:11" s="38" customFormat="1" x14ac:dyDescent="0.25">
      <c r="A23" s="72"/>
      <c r="B23" s="8" t="s">
        <v>13</v>
      </c>
      <c r="C23" s="6" t="s">
        <v>42</v>
      </c>
      <c r="D23" s="6" t="s">
        <v>63</v>
      </c>
      <c r="E23" s="17" t="s">
        <v>45</v>
      </c>
      <c r="F23" s="7">
        <v>32</v>
      </c>
      <c r="G23" s="29">
        <f>151.2*0.7</f>
        <v>105.83999999999999</v>
      </c>
      <c r="H23" s="29">
        <f>15.6*0.7</f>
        <v>10.92</v>
      </c>
      <c r="I23" s="29">
        <f>8.4*0.7</f>
        <v>5.88</v>
      </c>
      <c r="J23" s="30">
        <f>3.3*0.7</f>
        <v>2.3099999999999996</v>
      </c>
    </row>
    <row r="24" spans="1:11" x14ac:dyDescent="0.25">
      <c r="A24" s="72"/>
      <c r="B24" s="8" t="s">
        <v>17</v>
      </c>
      <c r="C24" s="6" t="s">
        <v>43</v>
      </c>
      <c r="D24" s="6" t="s">
        <v>44</v>
      </c>
      <c r="E24" s="17">
        <v>90</v>
      </c>
      <c r="F24" s="7">
        <v>10.4</v>
      </c>
      <c r="G24" s="31">
        <f>1625*0.09</f>
        <v>146.25</v>
      </c>
      <c r="H24" s="31">
        <f>57.32*0.09</f>
        <v>5.1588000000000003</v>
      </c>
      <c r="I24" s="31">
        <f>40.62*0.09</f>
        <v>3.6557999999999997</v>
      </c>
      <c r="J24" s="32">
        <f>257.61*0.09</f>
        <v>23.184899999999999</v>
      </c>
    </row>
    <row r="25" spans="1:11" x14ac:dyDescent="0.25">
      <c r="A25" s="72"/>
      <c r="B25" s="8" t="s">
        <v>66</v>
      </c>
      <c r="C25" s="6" t="s">
        <v>67</v>
      </c>
      <c r="D25" s="6" t="s">
        <v>68</v>
      </c>
      <c r="E25" s="17">
        <v>200</v>
      </c>
      <c r="F25" s="7">
        <v>6.53</v>
      </c>
      <c r="G25" s="7">
        <v>132.80000000000001</v>
      </c>
      <c r="H25" s="29">
        <v>0.66</v>
      </c>
      <c r="I25" s="29">
        <v>0.09</v>
      </c>
      <c r="J25" s="30">
        <v>32.01</v>
      </c>
    </row>
    <row r="26" spans="1:11" s="43" customFormat="1" x14ac:dyDescent="0.25">
      <c r="A26" s="72"/>
      <c r="B26" s="8" t="s">
        <v>49</v>
      </c>
      <c r="C26" s="6" t="s">
        <v>47</v>
      </c>
      <c r="D26" s="6" t="s">
        <v>69</v>
      </c>
      <c r="E26" s="17">
        <v>12</v>
      </c>
      <c r="F26" s="7">
        <v>2.67</v>
      </c>
      <c r="G26" s="80">
        <f>480*0.12</f>
        <v>57.599999999999994</v>
      </c>
      <c r="H26" s="80">
        <f>9*0.12</f>
        <v>1.08</v>
      </c>
      <c r="I26" s="80">
        <f>18*0.12</f>
        <v>2.16</v>
      </c>
      <c r="J26" s="81">
        <f>70*0.12</f>
        <v>8.4</v>
      </c>
    </row>
    <row r="27" spans="1:11" s="37" customFormat="1" ht="15.75" thickBot="1" x14ac:dyDescent="0.3">
      <c r="A27" s="72"/>
      <c r="B27" s="10" t="s">
        <v>14</v>
      </c>
      <c r="C27" s="11" t="s">
        <v>31</v>
      </c>
      <c r="D27" s="11" t="s">
        <v>32</v>
      </c>
      <c r="E27" s="18">
        <v>29</v>
      </c>
      <c r="F27" s="19">
        <v>1.19</v>
      </c>
      <c r="G27" s="19">
        <f>229.7*0.29</f>
        <v>66.612999999999985</v>
      </c>
      <c r="H27" s="12">
        <f>6.7*0.29</f>
        <v>1.9429999999999998</v>
      </c>
      <c r="I27" s="12">
        <f>1.1*0.29</f>
        <v>0.31900000000000001</v>
      </c>
      <c r="J27" s="13">
        <f>48.3*0.29</f>
        <v>14.006999999999998</v>
      </c>
      <c r="K27"/>
    </row>
    <row r="28" spans="1:11" ht="16.5" thickBot="1" x14ac:dyDescent="0.3">
      <c r="A28" s="64" t="s">
        <v>15</v>
      </c>
      <c r="B28" s="65"/>
      <c r="C28" s="65"/>
      <c r="D28" s="65"/>
      <c r="E28" s="66"/>
      <c r="F28" s="23">
        <f>SUM(F22:F27)</f>
        <v>69.5</v>
      </c>
      <c r="G28" s="23">
        <f>SUM(G22:G27)</f>
        <v>629.05299999999988</v>
      </c>
      <c r="H28" s="23">
        <f>SUM(H22:H27)</f>
        <v>21.824300000000004</v>
      </c>
      <c r="I28" s="23">
        <f>SUM(I22:I27)</f>
        <v>18.524799999999999</v>
      </c>
      <c r="J28" s="23">
        <f>SUM(J22:J27)</f>
        <v>91.204399999999993</v>
      </c>
    </row>
    <row r="30" spans="1:11" ht="15.75" thickBot="1" x14ac:dyDescent="0.3">
      <c r="A30" s="60" t="s">
        <v>25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1" ht="15.75" x14ac:dyDescent="0.25">
      <c r="A31" s="26"/>
      <c r="B31" s="26"/>
      <c r="C31" s="59" t="s">
        <v>23</v>
      </c>
      <c r="D31" s="59"/>
      <c r="G31" s="61"/>
      <c r="H31" s="61"/>
      <c r="I31" s="61"/>
      <c r="J31" s="61"/>
    </row>
    <row r="32" spans="1:11" x14ac:dyDescent="0.25">
      <c r="A32" s="1"/>
      <c r="B32" s="1"/>
      <c r="C32" s="1"/>
      <c r="D32" s="1"/>
    </row>
    <row r="33" spans="1:2" x14ac:dyDescent="0.25">
      <c r="A33" s="48" t="s">
        <v>24</v>
      </c>
      <c r="B33" s="48"/>
    </row>
    <row r="34" spans="1:2" x14ac:dyDescent="0.25">
      <c r="A34" s="48" t="s">
        <v>26</v>
      </c>
      <c r="B34" s="48"/>
    </row>
    <row r="35" spans="1:2" x14ac:dyDescent="0.25">
      <c r="A35" s="4"/>
    </row>
  </sheetData>
  <mergeCells count="17">
    <mergeCell ref="B1:C1"/>
    <mergeCell ref="G1:J1"/>
    <mergeCell ref="A8:E8"/>
    <mergeCell ref="A16:A20"/>
    <mergeCell ref="A3:A7"/>
    <mergeCell ref="A9:A11"/>
    <mergeCell ref="A33:B33"/>
    <mergeCell ref="A34:B34"/>
    <mergeCell ref="A12:E12"/>
    <mergeCell ref="A13:A14"/>
    <mergeCell ref="A15:E15"/>
    <mergeCell ref="A22:A27"/>
    <mergeCell ref="A28:E28"/>
    <mergeCell ref="A30:J30"/>
    <mergeCell ref="C31:D31"/>
    <mergeCell ref="G31:J31"/>
    <mergeCell ref="A21:E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15.03 1-4 кл</vt:lpstr>
      <vt:lpstr>15.03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2022-03-14T12:44:28Z</dcterms:modified>
</cp:coreProperties>
</file>