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6.03 1-4 кл" sheetId="1" r:id="rId1"/>
    <sheet name="16.03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H13" i="2"/>
  <c r="I13" i="2"/>
  <c r="G13" i="2"/>
  <c r="J11" i="2"/>
  <c r="I11" i="2"/>
  <c r="H11" i="2"/>
  <c r="G11" i="2"/>
  <c r="J9" i="2"/>
  <c r="I9" i="2"/>
  <c r="H9" i="2"/>
  <c r="G9" i="2"/>
  <c r="J7" i="2"/>
  <c r="I7" i="2"/>
  <c r="H7" i="2"/>
  <c r="G7" i="2"/>
  <c r="J3" i="2"/>
  <c r="I3" i="2"/>
  <c r="H3" i="2"/>
  <c r="G3" i="2"/>
  <c r="J4" i="2"/>
  <c r="I4" i="2"/>
  <c r="H4" i="2"/>
  <c r="G4" i="2"/>
  <c r="J6" i="1"/>
  <c r="I6" i="1"/>
  <c r="H6" i="1"/>
  <c r="G6" i="1"/>
  <c r="J3" i="1" l="1"/>
  <c r="I3" i="1"/>
  <c r="H3" i="1"/>
  <c r="G3" i="1"/>
  <c r="J26" i="2" l="1"/>
  <c r="I26" i="2"/>
  <c r="H26" i="2"/>
  <c r="G26" i="2"/>
  <c r="J16" i="1"/>
  <c r="I16" i="1"/>
  <c r="H16" i="1"/>
  <c r="G16" i="1"/>
  <c r="J24" i="2"/>
  <c r="I24" i="2"/>
  <c r="H24" i="2"/>
  <c r="G24" i="2"/>
  <c r="J23" i="2"/>
  <c r="I23" i="2"/>
  <c r="H23" i="2"/>
  <c r="G23" i="2"/>
  <c r="J22" i="2"/>
  <c r="I22" i="2"/>
  <c r="H22" i="2"/>
  <c r="G22" i="2"/>
  <c r="J20" i="2"/>
  <c r="I20" i="2"/>
  <c r="H20" i="2"/>
  <c r="G20" i="2"/>
  <c r="J18" i="2"/>
  <c r="I18" i="2"/>
  <c r="H18" i="2"/>
  <c r="G18" i="2"/>
  <c r="J17" i="2"/>
  <c r="I17" i="2"/>
  <c r="H17" i="2"/>
  <c r="G17" i="2"/>
  <c r="J16" i="2"/>
  <c r="I16" i="2"/>
  <c r="H16" i="2"/>
  <c r="G16" i="2"/>
  <c r="F8" i="2" l="1"/>
  <c r="J23" i="1" l="1"/>
  <c r="H23" i="1"/>
  <c r="G23" i="1" l="1"/>
  <c r="J19" i="1"/>
  <c r="I19" i="1"/>
  <c r="H19" i="1"/>
  <c r="G19" i="1"/>
  <c r="J14" i="1" l="1"/>
  <c r="I14" i="1"/>
  <c r="H14" i="1"/>
  <c r="G14" i="1"/>
  <c r="J12" i="1"/>
  <c r="I12" i="1"/>
  <c r="H12" i="1"/>
  <c r="G12" i="1"/>
  <c r="J8" i="1"/>
  <c r="I8" i="1"/>
  <c r="H8" i="1"/>
  <c r="G8" i="1"/>
  <c r="J10" i="1"/>
  <c r="I10" i="1"/>
  <c r="H10" i="1"/>
  <c r="G10" i="1"/>
  <c r="J9" i="1"/>
  <c r="I9" i="1"/>
  <c r="H9" i="1"/>
  <c r="G9" i="1"/>
  <c r="I23" i="1" l="1"/>
  <c r="F20" i="1" l="1"/>
  <c r="I15" i="1"/>
  <c r="J15" i="1"/>
  <c r="H15" i="1"/>
  <c r="G15" i="1"/>
  <c r="J20" i="1" l="1"/>
  <c r="I20" i="1"/>
  <c r="H20" i="1"/>
  <c r="G20" i="1"/>
  <c r="F7" i="1" l="1"/>
  <c r="J15" i="2" l="1"/>
  <c r="H15" i="2"/>
  <c r="F15" i="2"/>
  <c r="I15" i="2"/>
  <c r="G15" i="2"/>
  <c r="F12" i="2"/>
  <c r="J12" i="2"/>
  <c r="I12" i="2"/>
  <c r="H12" i="2"/>
  <c r="G12" i="2"/>
  <c r="F27" i="2"/>
  <c r="J27" i="2"/>
  <c r="I27" i="2"/>
  <c r="H27" i="2"/>
  <c r="G27" i="2"/>
  <c r="F21" i="2"/>
  <c r="J21" i="2"/>
  <c r="I21" i="2"/>
  <c r="H21" i="2"/>
  <c r="G21" i="2"/>
  <c r="J8" i="2"/>
  <c r="I8" i="2"/>
  <c r="H8" i="2"/>
  <c r="G8" i="2"/>
  <c r="F24" i="1" l="1"/>
  <c r="J24" i="1"/>
  <c r="I24" i="1"/>
  <c r="H24" i="1"/>
  <c r="G24" i="1"/>
  <c r="F13" i="1" l="1"/>
  <c r="J13" i="1"/>
  <c r="I13" i="1"/>
  <c r="H13" i="1"/>
  <c r="G13" i="1"/>
  <c r="J7" i="1"/>
  <c r="I7" i="1"/>
  <c r="H7" i="1"/>
  <c r="G7" i="1"/>
</calcChain>
</file>

<file path=xl/sharedStrings.xml><?xml version="1.0" encoding="utf-8"?>
<sst xmlns="http://schemas.openxmlformats.org/spreadsheetml/2006/main" count="180" uniqueCount="76">
  <si>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</si>
  <si>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</si>
  <si>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</si>
  <si>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</si>
  <si>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</si>
  <si>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</si>
  <si>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</si>
  <si>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</si>
  <si>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</si>
  <si>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</si>
  <si>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</si>
  <si>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</si>
  <si>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</si>
  <si>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</si>
  <si>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</si>
  <si>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</si>
  <si>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</si>
  <si>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</si>
  <si>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</si>
  <si>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</si>
  <si>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</si>
  <si>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</si>
  <si>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</si>
  <si>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</si>
  <si>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</si>
  <si>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</si>
  <si>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</si>
  <si>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</si>
  <si>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</si>
  <si>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</si>
  <si>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</si>
  <si>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</si>
  <si>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</si>
  <si>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</si>
  <si>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</si>
  <si>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ПР</t>
  </si>
  <si>
    <t>Кондитерское изделие</t>
  </si>
  <si>
    <t>№111-2015г.</t>
  </si>
  <si>
    <t>Напиток</t>
  </si>
  <si>
    <t>Суп с макаронными изделиями с цыплёнком и зеленью</t>
  </si>
  <si>
    <t>250/10/2</t>
  </si>
  <si>
    <t>№312-2015г.</t>
  </si>
  <si>
    <t>Пюре картофельное</t>
  </si>
  <si>
    <t>Завтрак 5-11 кл с доплатой 62,50 руб. и льготники с доплатой 42,50 руб. 1 смена</t>
  </si>
  <si>
    <t>Завтрак для льготников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</si>
  <si>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</si>
  <si>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</si>
  <si>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</si>
  <si>
    <t>Напиток (сладкое блюдо)</t>
  </si>
  <si>
    <t>Молочный коктейль "Авишка" 2,5 %</t>
  </si>
  <si>
    <t>ТТК №16</t>
  </si>
  <si>
    <t>Филе минтая запечёное</t>
  </si>
  <si>
    <t>№306-2015г.</t>
  </si>
  <si>
    <t>Фрукт</t>
  </si>
  <si>
    <t>№338-2015г.</t>
  </si>
  <si>
    <t>№389-2015г.</t>
  </si>
  <si>
    <t>Сок фруктовый</t>
  </si>
  <si>
    <t>Печенье "Лимонное"</t>
  </si>
  <si>
    <t>Суп с макаронными изделиями с зеленью</t>
  </si>
  <si>
    <t>250/2</t>
  </si>
  <si>
    <t>№342-2015г.</t>
  </si>
  <si>
    <t>Компот из свежих яблок</t>
  </si>
  <si>
    <t>Бобовые отварные (кукуруза сахарная консервированная)</t>
  </si>
  <si>
    <t>№382-2015г.</t>
  </si>
  <si>
    <t>Какао с молоком</t>
  </si>
  <si>
    <t>№2-2015г.</t>
  </si>
  <si>
    <t>Бутерброд с повидлом</t>
  </si>
  <si>
    <t>№265-2015г.</t>
  </si>
  <si>
    <t>Плов из свинины</t>
  </si>
  <si>
    <t>40/80</t>
  </si>
  <si>
    <t>№425-2015г.</t>
  </si>
  <si>
    <t>Булочка дорожная</t>
  </si>
  <si>
    <t>45/90</t>
  </si>
  <si>
    <t>23/46</t>
  </si>
  <si>
    <t>15/12</t>
  </si>
  <si>
    <t>Апельсин свежий (порция)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</si>
</sst>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3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2" fontId="2" fillId="0" borderId="25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0" xfId="0" applyFont="1"/>
    <xf numFmtId="2" fontId="2" fillId="0" borderId="27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0" fontId="1" fillId="0" borderId="0" xfId="0" applyFont="1"/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right" vertical="center" wrapText="1"/>
    </xf>
    <xf numFmtId="2" fontId="1" fillId="0" borderId="29" xfId="0" applyNumberFormat="1" applyFont="1" applyBorder="1" applyAlignment="1">
      <alignment horizontal="right" vertical="center" wrapText="1"/>
    </xf>
    <xf numFmtId="2" fontId="5" fillId="0" borderId="29" xfId="0" applyNumberFormat="1" applyFont="1" applyBorder="1" applyAlignment="1">
      <alignment horizontal="right" vertical="center" wrapText="1"/>
    </xf>
    <xf numFmtId="2" fontId="5" fillId="0" borderId="30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2" fontId="5" fillId="0" borderId="33" xfId="0" applyNumberFormat="1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4" workbookViewId="0">
      <selection activeCell="B21" sqref="B21:J23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7" t="s">
        <v>22</v>
      </c>
      <c r="C1" s="78"/>
      <c r="D1" s="1" t="s">
        <v>1</v>
      </c>
      <c r="E1" s="30"/>
      <c r="F1" s="1" t="s">
        <v>2</v>
      </c>
      <c r="G1" s="79">
        <v>44636</v>
      </c>
      <c r="H1" s="80"/>
      <c r="I1" s="80"/>
      <c r="J1" s="81"/>
      <c r="K1" s="1"/>
      <c r="L1" s="1"/>
    </row>
    <row r="2" spans="1:12" ht="15.75" thickBot="1" x14ac:dyDescent="0.3">
      <c r="A2" s="43" t="s">
        <v>3</v>
      </c>
      <c r="B2" s="56" t="s">
        <v>4</v>
      </c>
      <c r="C2" s="57" t="s">
        <v>5</v>
      </c>
      <c r="D2" s="43" t="s">
        <v>6</v>
      </c>
      <c r="E2" s="43" t="s">
        <v>7</v>
      </c>
      <c r="F2" s="43" t="s">
        <v>8</v>
      </c>
      <c r="G2" s="58" t="s">
        <v>9</v>
      </c>
      <c r="H2" s="58" t="s">
        <v>10</v>
      </c>
      <c r="I2" s="58" t="s">
        <v>11</v>
      </c>
      <c r="J2" s="59" t="s">
        <v>12</v>
      </c>
    </row>
    <row r="3" spans="1:12" s="36" customFormat="1" x14ac:dyDescent="0.25">
      <c r="A3" s="69" t="s">
        <v>27</v>
      </c>
      <c r="B3" s="50" t="s">
        <v>13</v>
      </c>
      <c r="C3" s="51" t="s">
        <v>67</v>
      </c>
      <c r="D3" s="51" t="s">
        <v>68</v>
      </c>
      <c r="E3" s="52" t="s">
        <v>69</v>
      </c>
      <c r="F3" s="53">
        <v>38.32</v>
      </c>
      <c r="G3" s="54">
        <f>408*0.8</f>
        <v>326.40000000000003</v>
      </c>
      <c r="H3" s="54">
        <f>12.62*0.8</f>
        <v>10.096</v>
      </c>
      <c r="I3" s="54">
        <f>9.95*0.8</f>
        <v>7.96</v>
      </c>
      <c r="J3" s="55">
        <f>25.89*0.8</f>
        <v>20.712000000000003</v>
      </c>
    </row>
    <row r="4" spans="1:12" s="37" customFormat="1" x14ac:dyDescent="0.25">
      <c r="A4" s="69"/>
      <c r="B4" s="6" t="s">
        <v>38</v>
      </c>
      <c r="C4" s="4" t="s">
        <v>35</v>
      </c>
      <c r="D4" s="4" t="s">
        <v>49</v>
      </c>
      <c r="E4" s="15">
        <v>200</v>
      </c>
      <c r="F4" s="5">
        <v>31.92</v>
      </c>
      <c r="G4" s="5">
        <v>160</v>
      </c>
      <c r="H4" s="5">
        <v>6.2</v>
      </c>
      <c r="I4" s="5">
        <v>5</v>
      </c>
      <c r="J4" s="7">
        <v>22</v>
      </c>
      <c r="K4"/>
    </row>
    <row r="5" spans="1:12" x14ac:dyDescent="0.25">
      <c r="A5" s="69"/>
      <c r="B5" s="6" t="s">
        <v>21</v>
      </c>
      <c r="C5" s="4" t="s">
        <v>70</v>
      </c>
      <c r="D5" s="4" t="s">
        <v>71</v>
      </c>
      <c r="E5" s="15">
        <v>50</v>
      </c>
      <c r="F5" s="5">
        <v>3.7</v>
      </c>
      <c r="G5" s="29">
        <v>160.5</v>
      </c>
      <c r="H5" s="29">
        <v>3.39</v>
      </c>
      <c r="I5" s="29">
        <v>6.98</v>
      </c>
      <c r="J5" s="31">
        <v>21.07</v>
      </c>
      <c r="K5"/>
    </row>
    <row r="6" spans="1:12" ht="15.75" thickBot="1" x14ac:dyDescent="0.3">
      <c r="A6" s="70"/>
      <c r="B6" s="8" t="s">
        <v>14</v>
      </c>
      <c r="C6" s="9" t="s">
        <v>32</v>
      </c>
      <c r="D6" s="9" t="s">
        <v>33</v>
      </c>
      <c r="E6" s="16">
        <v>19.5</v>
      </c>
      <c r="F6" s="17">
        <v>0.79</v>
      </c>
      <c r="G6" s="17">
        <f>229.7*0.195</f>
        <v>44.791499999999999</v>
      </c>
      <c r="H6" s="10">
        <f>6.7*0.195</f>
        <v>1.3065</v>
      </c>
      <c r="I6" s="10">
        <f>1.1*0.195</f>
        <v>0.21450000000000002</v>
      </c>
      <c r="J6" s="11">
        <f>48.3*0.195</f>
        <v>9.4184999999999999</v>
      </c>
      <c r="K6"/>
    </row>
    <row r="7" spans="1:12" ht="16.5" thickBot="1" x14ac:dyDescent="0.3">
      <c r="A7" s="85" t="s">
        <v>15</v>
      </c>
      <c r="B7" s="86"/>
      <c r="C7" s="86"/>
      <c r="D7" s="86"/>
      <c r="E7" s="87"/>
      <c r="F7" s="18">
        <f>SUM(F3:F6)</f>
        <v>74.730000000000018</v>
      </c>
      <c r="G7" s="18">
        <f>SUM(G3:G6)</f>
        <v>691.69150000000013</v>
      </c>
      <c r="H7" s="18">
        <f>SUM(H3:H6)</f>
        <v>20.9925</v>
      </c>
      <c r="I7" s="18">
        <f>SUM(I3:I6)</f>
        <v>20.154500000000002</v>
      </c>
      <c r="J7" s="18">
        <f>SUM(J3:J6)</f>
        <v>73.200500000000005</v>
      </c>
    </row>
    <row r="8" spans="1:12" s="35" customFormat="1" x14ac:dyDescent="0.25">
      <c r="A8" s="71" t="s">
        <v>28</v>
      </c>
      <c r="B8" s="19" t="s">
        <v>16</v>
      </c>
      <c r="C8" s="20" t="s">
        <v>37</v>
      </c>
      <c r="D8" s="20" t="s">
        <v>58</v>
      </c>
      <c r="E8" s="12" t="s">
        <v>59</v>
      </c>
      <c r="F8" s="13">
        <v>6.66</v>
      </c>
      <c r="G8" s="13">
        <f>468*0.25+211*0</f>
        <v>117</v>
      </c>
      <c r="H8" s="13">
        <f>9.54*0.25+21.1*0</f>
        <v>2.3849999999999998</v>
      </c>
      <c r="I8" s="13">
        <f>20.31*0.25+13.6*0</f>
        <v>5.0774999999999997</v>
      </c>
      <c r="J8" s="14">
        <f>51.98*0.25+0</f>
        <v>12.994999999999999</v>
      </c>
    </row>
    <row r="9" spans="1:12" s="35" customFormat="1" x14ac:dyDescent="0.25">
      <c r="A9" s="72"/>
      <c r="B9" s="6" t="s">
        <v>13</v>
      </c>
      <c r="C9" s="33" t="s">
        <v>50</v>
      </c>
      <c r="D9" s="32" t="s">
        <v>51</v>
      </c>
      <c r="E9" s="15">
        <v>26</v>
      </c>
      <c r="F9" s="5">
        <v>20.6</v>
      </c>
      <c r="G9" s="29">
        <f>71*0.52</f>
        <v>36.92</v>
      </c>
      <c r="H9" s="29">
        <f>10.56/60*26</f>
        <v>4.5760000000000005</v>
      </c>
      <c r="I9" s="29">
        <f>3.72/60*26</f>
        <v>1.6120000000000001</v>
      </c>
      <c r="J9" s="31">
        <f>2.28/60*26</f>
        <v>0.98799999999999999</v>
      </c>
      <c r="K9"/>
    </row>
    <row r="10" spans="1:12" x14ac:dyDescent="0.25">
      <c r="A10" s="72"/>
      <c r="B10" s="6" t="s">
        <v>17</v>
      </c>
      <c r="C10" s="33" t="s">
        <v>41</v>
      </c>
      <c r="D10" s="34" t="s">
        <v>42</v>
      </c>
      <c r="E10" s="15">
        <v>100</v>
      </c>
      <c r="F10" s="5">
        <v>13.35</v>
      </c>
      <c r="G10" s="27">
        <f>915*0.1</f>
        <v>91.5</v>
      </c>
      <c r="H10" s="27">
        <f>20.43*0.1</f>
        <v>2.0430000000000001</v>
      </c>
      <c r="I10" s="27">
        <f>32.01*0.1</f>
        <v>3.2010000000000001</v>
      </c>
      <c r="J10" s="28">
        <f>136.26*0.1</f>
        <v>13.625999999999999</v>
      </c>
      <c r="K10"/>
    </row>
    <row r="11" spans="1:12" x14ac:dyDescent="0.25">
      <c r="A11" s="72"/>
      <c r="B11" s="6" t="s">
        <v>18</v>
      </c>
      <c r="C11" s="4" t="s">
        <v>19</v>
      </c>
      <c r="D11" s="4" t="s">
        <v>20</v>
      </c>
      <c r="E11" s="15" t="s">
        <v>34</v>
      </c>
      <c r="F11" s="5">
        <v>3.09</v>
      </c>
      <c r="G11" s="5">
        <v>60</v>
      </c>
      <c r="H11" s="5">
        <v>7.0000000000000007E-2</v>
      </c>
      <c r="I11" s="5">
        <v>0.02</v>
      </c>
      <c r="J11" s="7">
        <v>15</v>
      </c>
      <c r="K11"/>
    </row>
    <row r="12" spans="1:12" ht="15.75" thickBot="1" x14ac:dyDescent="0.3">
      <c r="A12" s="72"/>
      <c r="B12" s="8" t="s">
        <v>14</v>
      </c>
      <c r="C12" s="9" t="s">
        <v>32</v>
      </c>
      <c r="D12" s="9" t="s">
        <v>33</v>
      </c>
      <c r="E12" s="16">
        <v>20.5</v>
      </c>
      <c r="F12" s="17">
        <v>0.83</v>
      </c>
      <c r="G12" s="17">
        <f>229.7*0.205</f>
        <v>47.088499999999996</v>
      </c>
      <c r="H12" s="10">
        <f>6.7*0.205</f>
        <v>1.3734999999999999</v>
      </c>
      <c r="I12" s="10">
        <f>1.1*0.205</f>
        <v>0.22550000000000001</v>
      </c>
      <c r="J12" s="11">
        <f>48.3*0.205</f>
        <v>9.9014999999999986</v>
      </c>
    </row>
    <row r="13" spans="1:12" ht="16.5" thickBot="1" x14ac:dyDescent="0.3">
      <c r="A13" s="73" t="s">
        <v>15</v>
      </c>
      <c r="B13" s="86"/>
      <c r="C13" s="86"/>
      <c r="D13" s="86"/>
      <c r="E13" s="87"/>
      <c r="F13" s="18">
        <f>SUM(F8:F12)</f>
        <v>44.53</v>
      </c>
      <c r="G13" s="18">
        <f t="shared" ref="G13:J13" si="0">SUM(G8:G12)</f>
        <v>352.50850000000003</v>
      </c>
      <c r="H13" s="18">
        <f t="shared" si="0"/>
        <v>10.447500000000002</v>
      </c>
      <c r="I13" s="18">
        <f t="shared" si="0"/>
        <v>10.135999999999999</v>
      </c>
      <c r="J13" s="18">
        <f t="shared" si="0"/>
        <v>52.510499999999993</v>
      </c>
    </row>
    <row r="14" spans="1:12" s="41" customFormat="1" ht="30" x14ac:dyDescent="0.25">
      <c r="A14" s="76" t="s">
        <v>29</v>
      </c>
      <c r="B14" s="19" t="s">
        <v>16</v>
      </c>
      <c r="C14" s="20" t="s">
        <v>37</v>
      </c>
      <c r="D14" s="20" t="s">
        <v>39</v>
      </c>
      <c r="E14" s="12" t="s">
        <v>40</v>
      </c>
      <c r="F14" s="13">
        <v>13.97</v>
      </c>
      <c r="G14" s="13">
        <f>468*0.25+211*0.1</f>
        <v>138.1</v>
      </c>
      <c r="H14" s="13">
        <f>9.54*0.25+21.1*0.1</f>
        <v>4.4950000000000001</v>
      </c>
      <c r="I14" s="13">
        <f>20.31*0.25+13.6*0.1</f>
        <v>6.4375</v>
      </c>
      <c r="J14" s="14">
        <f>51.98*0.25+0</f>
        <v>12.994999999999999</v>
      </c>
    </row>
    <row r="15" spans="1:12" x14ac:dyDescent="0.25">
      <c r="A15" s="69"/>
      <c r="B15" s="6" t="s">
        <v>13</v>
      </c>
      <c r="C15" s="33" t="s">
        <v>50</v>
      </c>
      <c r="D15" s="32" t="s">
        <v>51</v>
      </c>
      <c r="E15" s="15">
        <v>40</v>
      </c>
      <c r="F15" s="5">
        <v>31.69</v>
      </c>
      <c r="G15" s="29">
        <f>71*0.8</f>
        <v>56.800000000000004</v>
      </c>
      <c r="H15" s="29">
        <f>10.56/60*40</f>
        <v>7.0400000000000009</v>
      </c>
      <c r="I15" s="29">
        <f>3.72/60*40</f>
        <v>2.4800000000000004</v>
      </c>
      <c r="J15" s="31">
        <f>2.28/60*40</f>
        <v>1.52</v>
      </c>
    </row>
    <row r="16" spans="1:12" s="24" customFormat="1" x14ac:dyDescent="0.25">
      <c r="A16" s="69"/>
      <c r="B16" s="6" t="s">
        <v>17</v>
      </c>
      <c r="C16" s="33" t="s">
        <v>41</v>
      </c>
      <c r="D16" s="34" t="s">
        <v>42</v>
      </c>
      <c r="E16" s="15">
        <v>130</v>
      </c>
      <c r="F16" s="5">
        <v>17.350000000000001</v>
      </c>
      <c r="G16" s="27">
        <f>915*0.13</f>
        <v>118.95</v>
      </c>
      <c r="H16" s="27">
        <f>20.43*0.13</f>
        <v>2.6558999999999999</v>
      </c>
      <c r="I16" s="27">
        <f>32.01*0.13</f>
        <v>4.1612999999999998</v>
      </c>
      <c r="J16" s="28">
        <f>136.26*0.13</f>
        <v>17.713799999999999</v>
      </c>
      <c r="K16"/>
    </row>
    <row r="17" spans="1:11" x14ac:dyDescent="0.25">
      <c r="A17" s="69"/>
      <c r="B17" s="6" t="s">
        <v>48</v>
      </c>
      <c r="C17" s="33" t="s">
        <v>60</v>
      </c>
      <c r="D17" s="34" t="s">
        <v>61</v>
      </c>
      <c r="E17" s="15">
        <v>200</v>
      </c>
      <c r="F17" s="5">
        <v>8.27</v>
      </c>
      <c r="G17" s="5">
        <v>114.6</v>
      </c>
      <c r="H17" s="25">
        <v>0.16</v>
      </c>
      <c r="I17" s="25">
        <v>0.16</v>
      </c>
      <c r="J17" s="26">
        <v>27.88</v>
      </c>
      <c r="K17"/>
    </row>
    <row r="18" spans="1:11" s="46" customFormat="1" x14ac:dyDescent="0.25">
      <c r="A18" s="69"/>
      <c r="B18" s="60" t="s">
        <v>36</v>
      </c>
      <c r="C18" s="32" t="s">
        <v>35</v>
      </c>
      <c r="D18" s="61" t="s">
        <v>57</v>
      </c>
      <c r="E18" s="62">
        <v>12</v>
      </c>
      <c r="F18" s="63">
        <v>2.67</v>
      </c>
      <c r="G18" s="63">
        <v>57.6</v>
      </c>
      <c r="H18" s="64">
        <v>1.08</v>
      </c>
      <c r="I18" s="64">
        <v>2.16</v>
      </c>
      <c r="J18" s="65">
        <v>8.4</v>
      </c>
      <c r="K18"/>
    </row>
    <row r="19" spans="1:11" ht="15.75" thickBot="1" x14ac:dyDescent="0.3">
      <c r="A19" s="70"/>
      <c r="B19" s="8" t="s">
        <v>14</v>
      </c>
      <c r="C19" s="9" t="s">
        <v>32</v>
      </c>
      <c r="D19" s="9" t="s">
        <v>33</v>
      </c>
      <c r="E19" s="16">
        <v>19</v>
      </c>
      <c r="F19" s="17">
        <v>0.78</v>
      </c>
      <c r="G19" s="17">
        <f>229.7*0.19</f>
        <v>43.643000000000001</v>
      </c>
      <c r="H19" s="10">
        <f>6.7*0.19</f>
        <v>1.2730000000000001</v>
      </c>
      <c r="I19" s="10">
        <f>1.1*0.19</f>
        <v>0.20900000000000002</v>
      </c>
      <c r="J19" s="11">
        <f>48.3*0.19</f>
        <v>9.1769999999999996</v>
      </c>
      <c r="K19"/>
    </row>
    <row r="20" spans="1:11" ht="16.5" thickBot="1" x14ac:dyDescent="0.3">
      <c r="A20" s="85" t="s">
        <v>15</v>
      </c>
      <c r="B20" s="86"/>
      <c r="C20" s="86"/>
      <c r="D20" s="86"/>
      <c r="E20" s="87"/>
      <c r="F20" s="18">
        <f>SUM(F14:F19)</f>
        <v>74.73</v>
      </c>
      <c r="G20" s="18">
        <f t="shared" ref="G20:J20" si="1">SUM(G14:G19)</f>
        <v>529.6930000000001</v>
      </c>
      <c r="H20" s="18">
        <f t="shared" si="1"/>
        <v>16.703900000000001</v>
      </c>
      <c r="I20" s="18">
        <f t="shared" si="1"/>
        <v>15.607800000000001</v>
      </c>
      <c r="J20" s="18">
        <f t="shared" si="1"/>
        <v>77.6858</v>
      </c>
      <c r="K20"/>
    </row>
    <row r="21" spans="1:11" x14ac:dyDescent="0.25">
      <c r="A21" s="71" t="s">
        <v>30</v>
      </c>
      <c r="B21" s="19" t="s">
        <v>38</v>
      </c>
      <c r="C21" s="20" t="s">
        <v>55</v>
      </c>
      <c r="D21" s="20" t="s">
        <v>56</v>
      </c>
      <c r="E21" s="44">
        <v>200</v>
      </c>
      <c r="F21" s="21">
        <v>15</v>
      </c>
      <c r="G21" s="23">
        <v>104</v>
      </c>
      <c r="H21" s="13">
        <v>0.6</v>
      </c>
      <c r="I21" s="13">
        <v>0.2</v>
      </c>
      <c r="J21" s="14">
        <v>23.6</v>
      </c>
      <c r="K21"/>
    </row>
    <row r="22" spans="1:11" s="46" customFormat="1" x14ac:dyDescent="0.25">
      <c r="A22" s="72"/>
      <c r="B22" s="60" t="s">
        <v>36</v>
      </c>
      <c r="C22" s="32" t="s">
        <v>35</v>
      </c>
      <c r="D22" s="61" t="s">
        <v>57</v>
      </c>
      <c r="E22" s="62">
        <v>12</v>
      </c>
      <c r="F22" s="63">
        <v>2.67</v>
      </c>
      <c r="G22" s="63">
        <v>57.6</v>
      </c>
      <c r="H22" s="64">
        <v>1.08</v>
      </c>
      <c r="I22" s="64">
        <v>2.16</v>
      </c>
      <c r="J22" s="65">
        <v>8.4</v>
      </c>
      <c r="K22"/>
    </row>
    <row r="23" spans="1:11" s="36" customFormat="1" ht="15.75" thickBot="1" x14ac:dyDescent="0.3">
      <c r="A23" s="72"/>
      <c r="B23" s="8" t="s">
        <v>53</v>
      </c>
      <c r="C23" s="9" t="s">
        <v>54</v>
      </c>
      <c r="D23" s="9" t="s">
        <v>75</v>
      </c>
      <c r="E23" s="45">
        <v>102</v>
      </c>
      <c r="F23" s="10">
        <v>26.86</v>
      </c>
      <c r="G23" s="39">
        <f>43*0.96</f>
        <v>41.28</v>
      </c>
      <c r="H23" s="39">
        <f>0.9*0.96</f>
        <v>0.86399999999999999</v>
      </c>
      <c r="I23" s="39">
        <f>0.2*0.96</f>
        <v>0.192</v>
      </c>
      <c r="J23" s="40">
        <f>8.1*0.96</f>
        <v>7.7759999999999998</v>
      </c>
      <c r="K23"/>
    </row>
    <row r="24" spans="1:11" ht="16.5" thickBot="1" x14ac:dyDescent="0.3">
      <c r="A24" s="73" t="s">
        <v>15</v>
      </c>
      <c r="B24" s="74"/>
      <c r="C24" s="74"/>
      <c r="D24" s="74"/>
      <c r="E24" s="75"/>
      <c r="F24" s="38">
        <f>SUM(F21:F23)</f>
        <v>44.53</v>
      </c>
      <c r="G24" s="38">
        <f>SUM(G21:G23)</f>
        <v>202.88</v>
      </c>
      <c r="H24" s="38">
        <f>SUM(H21:H23)</f>
        <v>2.544</v>
      </c>
      <c r="I24" s="38">
        <f>SUM(I21:I23)</f>
        <v>2.5520000000000005</v>
      </c>
      <c r="J24" s="38">
        <f>SUM(J21:J23)</f>
        <v>39.775999999999996</v>
      </c>
      <c r="K24"/>
    </row>
    <row r="26" spans="1:11" ht="15.75" thickBot="1" x14ac:dyDescent="0.3">
      <c r="A26" s="83" t="s">
        <v>25</v>
      </c>
      <c r="B26" s="83"/>
      <c r="C26" s="83"/>
      <c r="D26" s="83"/>
      <c r="E26" s="83"/>
      <c r="F26" s="83"/>
      <c r="G26" s="83"/>
      <c r="H26" s="83"/>
      <c r="I26" s="83"/>
      <c r="J26" s="83"/>
    </row>
    <row r="27" spans="1:11" ht="15.75" x14ac:dyDescent="0.25">
      <c r="A27" s="22"/>
      <c r="B27" s="22"/>
      <c r="C27" s="82" t="s">
        <v>23</v>
      </c>
      <c r="D27" s="82"/>
      <c r="G27" s="84"/>
      <c r="H27" s="84"/>
      <c r="I27" s="84"/>
      <c r="J27" s="84"/>
    </row>
    <row r="28" spans="1:11" x14ac:dyDescent="0.25">
      <c r="A28" s="1"/>
      <c r="B28" s="1"/>
      <c r="C28" s="1"/>
      <c r="D28" s="1"/>
    </row>
    <row r="29" spans="1:11" x14ac:dyDescent="0.25">
      <c r="A29" s="68" t="s">
        <v>24</v>
      </c>
      <c r="B29" s="68"/>
    </row>
    <row r="30" spans="1:11" x14ac:dyDescent="0.25">
      <c r="A30" s="68" t="s">
        <v>26</v>
      </c>
      <c r="B30" s="68"/>
    </row>
    <row r="31" spans="1:11" x14ac:dyDescent="0.25">
      <c r="A31" s="3"/>
    </row>
    <row r="35" customFormat="1" x14ac:dyDescent="0.25"/>
    <row r="36" customFormat="1" x14ac:dyDescent="0.25"/>
    <row r="37" customFormat="1" x14ac:dyDescent="0.25"/>
    <row r="38" customFormat="1" x14ac:dyDescent="0.25"/>
  </sheetData>
  <mergeCells count="15">
    <mergeCell ref="B1:C1"/>
    <mergeCell ref="G1:J1"/>
    <mergeCell ref="C27:D27"/>
    <mergeCell ref="A26:J26"/>
    <mergeCell ref="G27:J27"/>
    <mergeCell ref="A7:E7"/>
    <mergeCell ref="A8:A12"/>
    <mergeCell ref="A13:E13"/>
    <mergeCell ref="A20:E20"/>
    <mergeCell ref="A29:B29"/>
    <mergeCell ref="A30:B30"/>
    <mergeCell ref="A3:A6"/>
    <mergeCell ref="A21:A23"/>
    <mergeCell ref="A24:E24"/>
    <mergeCell ref="A14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J14" sqref="J14"/>
    </sheetView>
  </sheetViews>
  <sheetFormatPr defaultRowHeight="15" x14ac:dyDescent="0.25"/>
  <cols>
    <col min="1" max="1" width="24" style="41" customWidth="1"/>
    <col min="2" max="2" width="24.7109375" style="41" customWidth="1"/>
    <col min="3" max="3" width="12.28515625" style="41" customWidth="1"/>
    <col min="4" max="4" width="48.85546875" style="41" customWidth="1"/>
    <col min="5" max="5" width="10.140625" style="41" bestFit="1" customWidth="1"/>
    <col min="6" max="6" width="9.140625" style="41"/>
    <col min="7" max="7" width="18.140625" style="41" customWidth="1"/>
    <col min="8" max="8" width="11.42578125" style="41" bestFit="1" customWidth="1"/>
    <col min="9" max="9" width="9.140625" style="41"/>
    <col min="10" max="10" width="10.85546875" style="41" customWidth="1"/>
    <col min="11" max="16384" width="9.140625" style="41"/>
  </cols>
  <sheetData>
    <row r="1" spans="1:12" ht="15.75" thickBot="1" x14ac:dyDescent="0.3">
      <c r="A1" s="1" t="s">
        <v>0</v>
      </c>
      <c r="B1" s="77" t="s">
        <v>22</v>
      </c>
      <c r="C1" s="78"/>
      <c r="D1" s="1" t="s">
        <v>1</v>
      </c>
      <c r="E1" s="30"/>
      <c r="F1" s="1" t="s">
        <v>2</v>
      </c>
      <c r="G1" s="79">
        <v>44636</v>
      </c>
      <c r="H1" s="80"/>
      <c r="I1" s="80"/>
      <c r="J1" s="81"/>
      <c r="K1" s="1"/>
      <c r="L1" s="1"/>
    </row>
    <row r="2" spans="1:12" ht="15.75" thickBot="1" x14ac:dyDescent="0.3">
      <c r="A2" s="43" t="s">
        <v>3</v>
      </c>
      <c r="B2" s="56" t="s">
        <v>4</v>
      </c>
      <c r="C2" s="57" t="s">
        <v>5</v>
      </c>
      <c r="D2" s="43" t="s">
        <v>6</v>
      </c>
      <c r="E2" s="43" t="s">
        <v>7</v>
      </c>
      <c r="F2" s="43" t="s">
        <v>8</v>
      </c>
      <c r="G2" s="58" t="s">
        <v>9</v>
      </c>
      <c r="H2" s="58" t="s">
        <v>10</v>
      </c>
      <c r="I2" s="58" t="s">
        <v>11</v>
      </c>
      <c r="J2" s="59" t="s">
        <v>12</v>
      </c>
    </row>
    <row r="3" spans="1:12" ht="30" x14ac:dyDescent="0.25">
      <c r="A3" s="69" t="s">
        <v>43</v>
      </c>
      <c r="B3" s="50" t="s">
        <v>31</v>
      </c>
      <c r="C3" s="51" t="s">
        <v>52</v>
      </c>
      <c r="D3" s="51" t="s">
        <v>62</v>
      </c>
      <c r="E3" s="52">
        <v>14</v>
      </c>
      <c r="F3" s="53">
        <v>6.79</v>
      </c>
      <c r="G3" s="54">
        <f>736*0.014</f>
        <v>10.304</v>
      </c>
      <c r="H3" s="54">
        <f>20.55*0.014</f>
        <v>0.28770000000000001</v>
      </c>
      <c r="I3" s="54">
        <f>29.1*0.014</f>
        <v>0.40740000000000004</v>
      </c>
      <c r="J3" s="55">
        <f>97.89*0.014</f>
        <v>1.37046</v>
      </c>
    </row>
    <row r="4" spans="1:12" s="49" customFormat="1" x14ac:dyDescent="0.25">
      <c r="A4" s="69"/>
      <c r="B4" s="50" t="s">
        <v>13</v>
      </c>
      <c r="C4" s="51" t="s">
        <v>67</v>
      </c>
      <c r="D4" s="51" t="s">
        <v>68</v>
      </c>
      <c r="E4" s="52" t="s">
        <v>72</v>
      </c>
      <c r="F4" s="53">
        <v>43.11</v>
      </c>
      <c r="G4" s="54">
        <f>408*0.9</f>
        <v>367.2</v>
      </c>
      <c r="H4" s="54">
        <f>12.62*0.9</f>
        <v>11.357999999999999</v>
      </c>
      <c r="I4" s="54">
        <f>9.95*0.9</f>
        <v>8.9550000000000001</v>
      </c>
      <c r="J4" s="55">
        <f>25.89*0.9</f>
        <v>23.301000000000002</v>
      </c>
    </row>
    <row r="5" spans="1:12" x14ac:dyDescent="0.25">
      <c r="A5" s="69"/>
      <c r="B5" s="6" t="s">
        <v>18</v>
      </c>
      <c r="C5" s="4" t="s">
        <v>63</v>
      </c>
      <c r="D5" s="4" t="s">
        <v>64</v>
      </c>
      <c r="E5" s="15">
        <v>200</v>
      </c>
      <c r="F5" s="5">
        <v>14.88</v>
      </c>
      <c r="G5" s="5">
        <v>136</v>
      </c>
      <c r="H5" s="5">
        <v>3.64</v>
      </c>
      <c r="I5" s="5">
        <v>3.35</v>
      </c>
      <c r="J5" s="7">
        <v>22.82</v>
      </c>
      <c r="K5"/>
    </row>
    <row r="6" spans="1:12" x14ac:dyDescent="0.25">
      <c r="A6" s="69"/>
      <c r="B6" s="6" t="s">
        <v>21</v>
      </c>
      <c r="C6" s="4" t="s">
        <v>70</v>
      </c>
      <c r="D6" s="4" t="s">
        <v>71</v>
      </c>
      <c r="E6" s="15">
        <v>50</v>
      </c>
      <c r="F6" s="5">
        <v>3.7</v>
      </c>
      <c r="G6" s="29">
        <v>160.5</v>
      </c>
      <c r="H6" s="29">
        <v>3.39</v>
      </c>
      <c r="I6" s="29">
        <v>6.98</v>
      </c>
      <c r="J6" s="31">
        <v>21.07</v>
      </c>
      <c r="K6"/>
    </row>
    <row r="7" spans="1:12" ht="15.75" thickBot="1" x14ac:dyDescent="0.3">
      <c r="A7" s="70"/>
      <c r="B7" s="8" t="s">
        <v>14</v>
      </c>
      <c r="C7" s="9" t="s">
        <v>32</v>
      </c>
      <c r="D7" s="9" t="s">
        <v>33</v>
      </c>
      <c r="E7" s="16">
        <v>25</v>
      </c>
      <c r="F7" s="17">
        <v>1.02</v>
      </c>
      <c r="G7" s="17">
        <f>229.7*0.25</f>
        <v>57.424999999999997</v>
      </c>
      <c r="H7" s="10">
        <f>6.7*0.25</f>
        <v>1.675</v>
      </c>
      <c r="I7" s="10">
        <f>1.1*0.25</f>
        <v>0.27500000000000002</v>
      </c>
      <c r="J7" s="11">
        <f>48.3*0.25</f>
        <v>12.074999999999999</v>
      </c>
      <c r="K7"/>
    </row>
    <row r="8" spans="1:12" ht="16.5" thickBot="1" x14ac:dyDescent="0.3">
      <c r="A8" s="85" t="s">
        <v>15</v>
      </c>
      <c r="B8" s="86"/>
      <c r="C8" s="86"/>
      <c r="D8" s="86"/>
      <c r="E8" s="87"/>
      <c r="F8" s="18">
        <f>SUM(F3:F7)</f>
        <v>69.5</v>
      </c>
      <c r="G8" s="18">
        <f>SUM(G3:G7)</f>
        <v>731.42899999999986</v>
      </c>
      <c r="H8" s="18">
        <f>SUM(H3:H7)</f>
        <v>20.3507</v>
      </c>
      <c r="I8" s="18">
        <f>SUM(I3:I7)</f>
        <v>19.967399999999998</v>
      </c>
      <c r="J8" s="18">
        <f>SUM(J3:J7)</f>
        <v>80.636460000000014</v>
      </c>
    </row>
    <row r="9" spans="1:12" x14ac:dyDescent="0.25">
      <c r="A9" s="69" t="s">
        <v>44</v>
      </c>
      <c r="B9" s="19" t="s">
        <v>13</v>
      </c>
      <c r="C9" s="20" t="s">
        <v>67</v>
      </c>
      <c r="D9" s="20" t="s">
        <v>68</v>
      </c>
      <c r="E9" s="12" t="s">
        <v>73</v>
      </c>
      <c r="F9" s="13">
        <v>22.03</v>
      </c>
      <c r="G9" s="66">
        <f>408*0.46</f>
        <v>187.68</v>
      </c>
      <c r="H9" s="66">
        <f>12.62*0.46</f>
        <v>5.8052000000000001</v>
      </c>
      <c r="I9" s="66">
        <f>9.95*0.46</f>
        <v>4.577</v>
      </c>
      <c r="J9" s="67">
        <f>25.89*0.46</f>
        <v>11.909400000000002</v>
      </c>
      <c r="K9"/>
    </row>
    <row r="10" spans="1:12" x14ac:dyDescent="0.25">
      <c r="A10" s="69"/>
      <c r="B10" s="6" t="s">
        <v>18</v>
      </c>
      <c r="C10" s="4" t="s">
        <v>19</v>
      </c>
      <c r="D10" s="4" t="s">
        <v>20</v>
      </c>
      <c r="E10" s="15" t="s">
        <v>34</v>
      </c>
      <c r="F10" s="5">
        <v>3.09</v>
      </c>
      <c r="G10" s="5">
        <v>60</v>
      </c>
      <c r="H10" s="5">
        <v>7.0000000000000007E-2</v>
      </c>
      <c r="I10" s="5">
        <v>0.02</v>
      </c>
      <c r="J10" s="7">
        <v>15</v>
      </c>
      <c r="K10"/>
    </row>
    <row r="11" spans="1:12" ht="15.75" thickBot="1" x14ac:dyDescent="0.3">
      <c r="A11" s="70"/>
      <c r="B11" s="8" t="s">
        <v>14</v>
      </c>
      <c r="C11" s="9" t="s">
        <v>32</v>
      </c>
      <c r="D11" s="9" t="s">
        <v>33</v>
      </c>
      <c r="E11" s="16">
        <v>46</v>
      </c>
      <c r="F11" s="17">
        <v>1.88</v>
      </c>
      <c r="G11" s="17">
        <f>229.7*0.46</f>
        <v>105.66200000000001</v>
      </c>
      <c r="H11" s="10">
        <f>6.7*0.46</f>
        <v>3.0820000000000003</v>
      </c>
      <c r="I11" s="10">
        <f>1.1*0.46</f>
        <v>0.50600000000000012</v>
      </c>
      <c r="J11" s="11">
        <f>48.3*0.46</f>
        <v>22.218</v>
      </c>
      <c r="K11"/>
    </row>
    <row r="12" spans="1:12" ht="16.5" thickBot="1" x14ac:dyDescent="0.3">
      <c r="A12" s="85" t="s">
        <v>15</v>
      </c>
      <c r="B12" s="86"/>
      <c r="C12" s="86"/>
      <c r="D12" s="86"/>
      <c r="E12" s="87"/>
      <c r="F12" s="18">
        <f>SUM(F9:F11)</f>
        <v>27</v>
      </c>
      <c r="G12" s="18">
        <f>SUM(G9:G11)</f>
        <v>353.34199999999998</v>
      </c>
      <c r="H12" s="18">
        <f>SUM(H9:H11)</f>
        <v>8.9572000000000003</v>
      </c>
      <c r="I12" s="18">
        <f>SUM(I9:I11)</f>
        <v>5.1029999999999998</v>
      </c>
      <c r="J12" s="18">
        <f>SUM(J9:J11)</f>
        <v>49.127400000000002</v>
      </c>
    </row>
    <row r="13" spans="1:12" x14ac:dyDescent="0.25">
      <c r="A13" s="69" t="s">
        <v>45</v>
      </c>
      <c r="B13" s="19" t="s">
        <v>31</v>
      </c>
      <c r="C13" s="20" t="s">
        <v>65</v>
      </c>
      <c r="D13" s="20" t="s">
        <v>66</v>
      </c>
      <c r="E13" s="90" t="s">
        <v>74</v>
      </c>
      <c r="F13" s="13">
        <v>3.91</v>
      </c>
      <c r="G13" s="13">
        <f>250*0.15+229.7*0.12</f>
        <v>65.063999999999993</v>
      </c>
      <c r="H13" s="13">
        <f>0.4*0.15+6.7*0.12</f>
        <v>0.86399999999999988</v>
      </c>
      <c r="I13" s="13">
        <f>1.1*0.12</f>
        <v>0.13200000000000001</v>
      </c>
      <c r="J13" s="14">
        <f>65*0.15+43.3*0.12</f>
        <v>14.946</v>
      </c>
    </row>
    <row r="14" spans="1:12" ht="15.75" thickBot="1" x14ac:dyDescent="0.3">
      <c r="A14" s="69"/>
      <c r="B14" s="8" t="s">
        <v>18</v>
      </c>
      <c r="C14" s="9" t="s">
        <v>19</v>
      </c>
      <c r="D14" s="9" t="s">
        <v>20</v>
      </c>
      <c r="E14" s="16" t="s">
        <v>34</v>
      </c>
      <c r="F14" s="17">
        <v>3.09</v>
      </c>
      <c r="G14" s="39">
        <v>60</v>
      </c>
      <c r="H14" s="39">
        <v>7.0000000000000007E-2</v>
      </c>
      <c r="I14" s="39">
        <v>0.02</v>
      </c>
      <c r="J14" s="40">
        <v>15</v>
      </c>
      <c r="K14"/>
    </row>
    <row r="15" spans="1:12" ht="16.5" thickBot="1" x14ac:dyDescent="0.3">
      <c r="A15" s="85" t="s">
        <v>15</v>
      </c>
      <c r="B15" s="86"/>
      <c r="C15" s="86"/>
      <c r="D15" s="86"/>
      <c r="E15" s="87"/>
      <c r="F15" s="18">
        <f>SUM(F13:F14)</f>
        <v>7</v>
      </c>
      <c r="G15" s="18">
        <f>SUM(G13:G14)</f>
        <v>125.06399999999999</v>
      </c>
      <c r="H15" s="18">
        <f>SUM(H13:H14)</f>
        <v>0.93399999999999994</v>
      </c>
      <c r="I15" s="18">
        <f>SUM(I13:I14)</f>
        <v>0.152</v>
      </c>
      <c r="J15" s="18">
        <f>SUM(J13:J14)</f>
        <v>29.945999999999998</v>
      </c>
    </row>
    <row r="16" spans="1:12" x14ac:dyDescent="0.25">
      <c r="A16" s="71" t="s">
        <v>46</v>
      </c>
      <c r="B16" s="19" t="s">
        <v>16</v>
      </c>
      <c r="C16" s="20" t="s">
        <v>37</v>
      </c>
      <c r="D16" s="20" t="s">
        <v>58</v>
      </c>
      <c r="E16" s="12" t="s">
        <v>59</v>
      </c>
      <c r="F16" s="13">
        <v>6.66</v>
      </c>
      <c r="G16" s="13">
        <f>468*0.25+211*0</f>
        <v>117</v>
      </c>
      <c r="H16" s="13">
        <f>9.54*0.25+21.1*0</f>
        <v>2.3849999999999998</v>
      </c>
      <c r="I16" s="13">
        <f>20.31*0.25+13.6*0</f>
        <v>5.0774999999999997</v>
      </c>
      <c r="J16" s="14">
        <f>51.98*0.25+0</f>
        <v>12.994999999999999</v>
      </c>
    </row>
    <row r="17" spans="1:11" x14ac:dyDescent="0.25">
      <c r="A17" s="72"/>
      <c r="B17" s="6" t="s">
        <v>13</v>
      </c>
      <c r="C17" s="33" t="s">
        <v>50</v>
      </c>
      <c r="D17" s="32" t="s">
        <v>51</v>
      </c>
      <c r="E17" s="15">
        <v>26</v>
      </c>
      <c r="F17" s="5">
        <v>20.6</v>
      </c>
      <c r="G17" s="29">
        <f>71*0.52</f>
        <v>36.92</v>
      </c>
      <c r="H17" s="29">
        <f>10.56/60*26</f>
        <v>4.5760000000000005</v>
      </c>
      <c r="I17" s="29">
        <f>3.72/60*26</f>
        <v>1.6120000000000001</v>
      </c>
      <c r="J17" s="31">
        <f>2.28/60*26</f>
        <v>0.98799999999999999</v>
      </c>
      <c r="K17"/>
    </row>
    <row r="18" spans="1:11" x14ac:dyDescent="0.25">
      <c r="A18" s="72"/>
      <c r="B18" s="6" t="s">
        <v>17</v>
      </c>
      <c r="C18" s="33" t="s">
        <v>41</v>
      </c>
      <c r="D18" s="34" t="s">
        <v>42</v>
      </c>
      <c r="E18" s="15">
        <v>100</v>
      </c>
      <c r="F18" s="5">
        <v>13.35</v>
      </c>
      <c r="G18" s="27">
        <f>915*0.1</f>
        <v>91.5</v>
      </c>
      <c r="H18" s="27">
        <f>20.43*0.1</f>
        <v>2.0430000000000001</v>
      </c>
      <c r="I18" s="27">
        <f>32.01*0.1</f>
        <v>3.2010000000000001</v>
      </c>
      <c r="J18" s="28">
        <f>136.26*0.1</f>
        <v>13.625999999999999</v>
      </c>
      <c r="K18"/>
    </row>
    <row r="19" spans="1:11" x14ac:dyDescent="0.25">
      <c r="A19" s="72"/>
      <c r="B19" s="6" t="s">
        <v>18</v>
      </c>
      <c r="C19" s="4" t="s">
        <v>19</v>
      </c>
      <c r="D19" s="4" t="s">
        <v>20</v>
      </c>
      <c r="E19" s="15" t="s">
        <v>34</v>
      </c>
      <c r="F19" s="5">
        <v>3.09</v>
      </c>
      <c r="G19" s="5">
        <v>60</v>
      </c>
      <c r="H19" s="5">
        <v>7.0000000000000007E-2</v>
      </c>
      <c r="I19" s="5">
        <v>0.02</v>
      </c>
      <c r="J19" s="7">
        <v>15</v>
      </c>
      <c r="K19"/>
    </row>
    <row r="20" spans="1:11" ht="15.75" thickBot="1" x14ac:dyDescent="0.3">
      <c r="A20" s="72"/>
      <c r="B20" s="8" t="s">
        <v>14</v>
      </c>
      <c r="C20" s="9" t="s">
        <v>32</v>
      </c>
      <c r="D20" s="9" t="s">
        <v>33</v>
      </c>
      <c r="E20" s="16">
        <v>32</v>
      </c>
      <c r="F20" s="17">
        <v>1.3</v>
      </c>
      <c r="G20" s="17">
        <f>229.7*0.32</f>
        <v>73.504000000000005</v>
      </c>
      <c r="H20" s="10">
        <f>6.7*0.32</f>
        <v>2.1440000000000001</v>
      </c>
      <c r="I20" s="10">
        <f>1.1*0.32</f>
        <v>0.35200000000000004</v>
      </c>
      <c r="J20" s="11">
        <f>48.3*0.32</f>
        <v>15.456</v>
      </c>
    </row>
    <row r="21" spans="1:11" ht="16.5" thickBot="1" x14ac:dyDescent="0.3">
      <c r="A21" s="73" t="s">
        <v>15</v>
      </c>
      <c r="B21" s="86"/>
      <c r="C21" s="86"/>
      <c r="D21" s="86"/>
      <c r="E21" s="87"/>
      <c r="F21" s="18">
        <f>SUM(F16:F20)</f>
        <v>45</v>
      </c>
      <c r="G21" s="18">
        <f t="shared" ref="G21:J21" si="0">SUM(G16:G20)</f>
        <v>378.92400000000004</v>
      </c>
      <c r="H21" s="18">
        <f t="shared" si="0"/>
        <v>11.218000000000002</v>
      </c>
      <c r="I21" s="18">
        <f t="shared" si="0"/>
        <v>10.262499999999999</v>
      </c>
      <c r="J21" s="18">
        <f t="shared" si="0"/>
        <v>58.064999999999998</v>
      </c>
    </row>
    <row r="22" spans="1:11" ht="30" x14ac:dyDescent="0.25">
      <c r="A22" s="76" t="s">
        <v>47</v>
      </c>
      <c r="B22" s="19" t="s">
        <v>16</v>
      </c>
      <c r="C22" s="20" t="s">
        <v>37</v>
      </c>
      <c r="D22" s="20" t="s">
        <v>39</v>
      </c>
      <c r="E22" s="12" t="s">
        <v>40</v>
      </c>
      <c r="F22" s="13">
        <v>13.97</v>
      </c>
      <c r="G22" s="13">
        <f>468*0.25+211*0.1</f>
        <v>138.1</v>
      </c>
      <c r="H22" s="13">
        <f>9.54*0.25+21.1*0.1</f>
        <v>4.4950000000000001</v>
      </c>
      <c r="I22" s="13">
        <f>20.31*0.25+13.6*0.1</f>
        <v>6.4375</v>
      </c>
      <c r="J22" s="14">
        <f>51.98*0.25+0</f>
        <v>12.994999999999999</v>
      </c>
    </row>
    <row r="23" spans="1:11" x14ac:dyDescent="0.25">
      <c r="A23" s="69"/>
      <c r="B23" s="6" t="s">
        <v>13</v>
      </c>
      <c r="C23" s="33" t="s">
        <v>50</v>
      </c>
      <c r="D23" s="32" t="s">
        <v>51</v>
      </c>
      <c r="E23" s="15">
        <v>40</v>
      </c>
      <c r="F23" s="5">
        <v>31.69</v>
      </c>
      <c r="G23" s="29">
        <f>71*0.8</f>
        <v>56.800000000000004</v>
      </c>
      <c r="H23" s="29">
        <f>10.56/60*40</f>
        <v>7.0400000000000009</v>
      </c>
      <c r="I23" s="29">
        <f>3.72/60*40</f>
        <v>2.4800000000000004</v>
      </c>
      <c r="J23" s="31">
        <f>2.28/60*40</f>
        <v>1.52</v>
      </c>
    </row>
    <row r="24" spans="1:11" x14ac:dyDescent="0.25">
      <c r="A24" s="69"/>
      <c r="B24" s="6" t="s">
        <v>17</v>
      </c>
      <c r="C24" s="33" t="s">
        <v>41</v>
      </c>
      <c r="D24" s="34" t="s">
        <v>42</v>
      </c>
      <c r="E24" s="15">
        <v>110</v>
      </c>
      <c r="F24" s="5">
        <v>14.69</v>
      </c>
      <c r="G24" s="27">
        <f>915*0.11</f>
        <v>100.65</v>
      </c>
      <c r="H24" s="27">
        <f>20.43*0.11</f>
        <v>2.2473000000000001</v>
      </c>
      <c r="I24" s="27">
        <f>32.01*0.11</f>
        <v>3.5210999999999997</v>
      </c>
      <c r="J24" s="28">
        <f>136.26*0.11</f>
        <v>14.9886</v>
      </c>
      <c r="K24"/>
    </row>
    <row r="25" spans="1:11" x14ac:dyDescent="0.25">
      <c r="A25" s="69"/>
      <c r="B25" s="6" t="s">
        <v>48</v>
      </c>
      <c r="C25" s="33" t="s">
        <v>60</v>
      </c>
      <c r="D25" s="34" t="s">
        <v>61</v>
      </c>
      <c r="E25" s="15">
        <v>200</v>
      </c>
      <c r="F25" s="5">
        <v>8.27</v>
      </c>
      <c r="G25" s="5">
        <v>114.6</v>
      </c>
      <c r="H25" s="25">
        <v>0.16</v>
      </c>
      <c r="I25" s="25">
        <v>0.16</v>
      </c>
      <c r="J25" s="26">
        <v>27.88</v>
      </c>
      <c r="K25"/>
    </row>
    <row r="26" spans="1:11" ht="15.75" thickBot="1" x14ac:dyDescent="0.3">
      <c r="A26" s="69"/>
      <c r="B26" s="8" t="s">
        <v>14</v>
      </c>
      <c r="C26" s="9" t="s">
        <v>32</v>
      </c>
      <c r="D26" s="9" t="s">
        <v>33</v>
      </c>
      <c r="E26" s="16">
        <v>21.5</v>
      </c>
      <c r="F26" s="17">
        <v>0.88</v>
      </c>
      <c r="G26" s="17">
        <f>229.7*0.215</f>
        <v>49.385499999999993</v>
      </c>
      <c r="H26" s="10">
        <f>6.7*0.215</f>
        <v>1.4405000000000001</v>
      </c>
      <c r="I26" s="10">
        <f>1.1*0.215</f>
        <v>0.23650000000000002</v>
      </c>
      <c r="J26" s="11">
        <f>48.3*0.215</f>
        <v>10.384499999999999</v>
      </c>
      <c r="K26"/>
    </row>
    <row r="27" spans="1:11" ht="16.5" thickBot="1" x14ac:dyDescent="0.3">
      <c r="A27" s="73" t="s">
        <v>15</v>
      </c>
      <c r="B27" s="88"/>
      <c r="C27" s="88"/>
      <c r="D27" s="88"/>
      <c r="E27" s="89"/>
      <c r="F27" s="47">
        <f>SUM(F22:F26)</f>
        <v>69.5</v>
      </c>
      <c r="G27" s="47">
        <f>SUM(G22:G26)</f>
        <v>459.53549999999996</v>
      </c>
      <c r="H27" s="47">
        <f>SUM(H22:H26)</f>
        <v>15.3828</v>
      </c>
      <c r="I27" s="47">
        <f>SUM(I22:I26)</f>
        <v>12.835100000000001</v>
      </c>
      <c r="J27" s="48">
        <f>SUM(J22:J26)</f>
        <v>67.768100000000004</v>
      </c>
      <c r="K27"/>
    </row>
    <row r="29" spans="1:11" ht="15.75" thickBot="1" x14ac:dyDescent="0.3">
      <c r="A29" s="83" t="s">
        <v>25</v>
      </c>
      <c r="B29" s="83"/>
      <c r="C29" s="83"/>
      <c r="D29" s="83"/>
      <c r="E29" s="83"/>
      <c r="F29" s="83"/>
      <c r="G29" s="83"/>
      <c r="H29" s="83"/>
      <c r="I29" s="83"/>
      <c r="J29" s="83"/>
    </row>
    <row r="30" spans="1:11" ht="15.75" x14ac:dyDescent="0.25">
      <c r="A30" s="22"/>
      <c r="B30" s="22"/>
      <c r="C30" s="82" t="s">
        <v>23</v>
      </c>
      <c r="D30" s="82"/>
      <c r="G30" s="84"/>
      <c r="H30" s="84"/>
      <c r="I30" s="84"/>
      <c r="J30" s="84"/>
    </row>
    <row r="31" spans="1:11" x14ac:dyDescent="0.25">
      <c r="A31" s="1"/>
      <c r="B31" s="1"/>
      <c r="C31" s="1"/>
      <c r="D31" s="1"/>
    </row>
    <row r="32" spans="1:11" x14ac:dyDescent="0.25">
      <c r="A32" s="68" t="s">
        <v>24</v>
      </c>
      <c r="B32" s="68"/>
    </row>
    <row r="33" spans="1:2" x14ac:dyDescent="0.25">
      <c r="A33" s="68" t="s">
        <v>26</v>
      </c>
      <c r="B33" s="68"/>
    </row>
    <row r="34" spans="1:2" x14ac:dyDescent="0.25">
      <c r="A34" s="42"/>
    </row>
    <row r="38" spans="1:2" customFormat="1" x14ac:dyDescent="0.25"/>
    <row r="39" spans="1:2" customFormat="1" x14ac:dyDescent="0.25"/>
    <row r="40" spans="1:2" customFormat="1" x14ac:dyDescent="0.25"/>
    <row r="41" spans="1:2" customFormat="1" x14ac:dyDescent="0.25"/>
  </sheetData>
  <mergeCells count="17">
    <mergeCell ref="A32:B32"/>
    <mergeCell ref="A33:B33"/>
    <mergeCell ref="A9:A11"/>
    <mergeCell ref="A12:E12"/>
    <mergeCell ref="A13:A14"/>
    <mergeCell ref="A15:E15"/>
    <mergeCell ref="A22:A26"/>
    <mergeCell ref="A27:E27"/>
    <mergeCell ref="A29:J29"/>
    <mergeCell ref="C30:D30"/>
    <mergeCell ref="G30:J30"/>
    <mergeCell ref="A21:E21"/>
    <mergeCell ref="B1:C1"/>
    <mergeCell ref="G1:J1"/>
    <mergeCell ref="A3:A7"/>
    <mergeCell ref="A8:E8"/>
    <mergeCell ref="A16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16.03 1-4 кл</vt:lpstr>
      <vt:lpstr>16.03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2022-03-15T13:40:51Z</dcterms:modified>
</cp:coreProperties>
</file>