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31.03 1-4 кл" sheetId="1" r:id="rId1"/>
    <sheet name="31.03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I26" i="2"/>
  <c r="H26" i="2"/>
  <c r="G26" i="2"/>
  <c r="J24" i="2"/>
  <c r="I24" i="2"/>
  <c r="H24" i="2"/>
  <c r="G24" i="2"/>
  <c r="J23" i="2"/>
  <c r="I23" i="2"/>
  <c r="H23" i="2"/>
  <c r="G23" i="2"/>
  <c r="J22" i="2"/>
  <c r="I22" i="2"/>
  <c r="H22" i="2"/>
  <c r="G22" i="2"/>
  <c r="J20" i="2"/>
  <c r="I20" i="2"/>
  <c r="H20" i="2"/>
  <c r="G20" i="2"/>
  <c r="J18" i="2"/>
  <c r="I18" i="2"/>
  <c r="H18" i="2"/>
  <c r="G18" i="2"/>
  <c r="J17" i="2"/>
  <c r="I17" i="2"/>
  <c r="H17" i="2"/>
  <c r="G17" i="2"/>
  <c r="J16" i="2"/>
  <c r="I16" i="2"/>
  <c r="H16" i="2"/>
  <c r="G16" i="2"/>
  <c r="J11" i="2" l="1"/>
  <c r="I11" i="2"/>
  <c r="H11" i="2"/>
  <c r="G11" i="2"/>
  <c r="J7" i="2"/>
  <c r="I7" i="2"/>
  <c r="H7" i="2"/>
  <c r="G7" i="2"/>
  <c r="J6" i="2"/>
  <c r="I6" i="2"/>
  <c r="H6" i="2"/>
  <c r="G6" i="2"/>
  <c r="J4" i="2"/>
  <c r="I4" i="2"/>
  <c r="H4" i="2"/>
  <c r="G4" i="2"/>
  <c r="J24" i="1"/>
  <c r="I24" i="1"/>
  <c r="H24" i="1"/>
  <c r="G24" i="1"/>
  <c r="J21" i="1" l="1"/>
  <c r="I21" i="1"/>
  <c r="H21" i="1"/>
  <c r="G21" i="1"/>
  <c r="J18" i="1" l="1"/>
  <c r="I18" i="1"/>
  <c r="H18" i="1"/>
  <c r="G18" i="1"/>
  <c r="J11" i="1"/>
  <c r="I11" i="1"/>
  <c r="H11" i="1"/>
  <c r="G11" i="1"/>
  <c r="I10" i="1"/>
  <c r="H10" i="1"/>
  <c r="G10" i="1"/>
  <c r="J8" i="1"/>
  <c r="I8" i="1"/>
  <c r="H8" i="1"/>
  <c r="G8" i="1"/>
  <c r="J5" i="1"/>
  <c r="I5" i="1"/>
  <c r="H5" i="1"/>
  <c r="G5" i="1"/>
  <c r="J3" i="1"/>
  <c r="I3" i="1"/>
  <c r="H3" i="1"/>
  <c r="G3" i="1"/>
  <c r="H9" i="2" l="1"/>
  <c r="I9" i="2"/>
  <c r="J9" i="2"/>
  <c r="G9" i="2"/>
  <c r="J3" i="2"/>
  <c r="I3" i="2"/>
  <c r="H3" i="2"/>
  <c r="G3" i="2"/>
  <c r="J16" i="1" l="1"/>
  <c r="I16" i="1"/>
  <c r="H16" i="1"/>
  <c r="G16" i="1"/>
  <c r="J14" i="1"/>
  <c r="I14" i="1"/>
  <c r="H14" i="1"/>
  <c r="G14" i="1"/>
  <c r="F22" i="1" l="1"/>
  <c r="J17" i="1" l="1"/>
  <c r="J22" i="1" s="1"/>
  <c r="I17" i="1"/>
  <c r="I22" i="1" s="1"/>
  <c r="H17" i="1"/>
  <c r="H22" i="1" s="1"/>
  <c r="G17" i="1"/>
  <c r="G22" i="1" s="1"/>
  <c r="J15" i="2" l="1"/>
  <c r="H15" i="2"/>
  <c r="F15" i="2"/>
  <c r="I15" i="2"/>
  <c r="G15" i="2"/>
  <c r="F12" i="2"/>
  <c r="J12" i="2"/>
  <c r="I12" i="2"/>
  <c r="H12" i="2"/>
  <c r="G12" i="2"/>
  <c r="F27" i="2"/>
  <c r="J27" i="2"/>
  <c r="I27" i="2"/>
  <c r="H27" i="2"/>
  <c r="G27" i="2"/>
  <c r="F21" i="2"/>
  <c r="J21" i="2"/>
  <c r="I21" i="2"/>
  <c r="H21" i="2"/>
  <c r="G21" i="2"/>
  <c r="F8" i="2"/>
  <c r="J8" i="2"/>
  <c r="I8" i="2"/>
  <c r="H8" i="2"/>
  <c r="G8" i="2"/>
  <c r="J12" i="1" l="1"/>
  <c r="I12" i="1"/>
  <c r="H12" i="1"/>
  <c r="G12" i="1"/>
  <c r="J10" i="1"/>
  <c r="F25" i="1" l="1"/>
  <c r="J23" i="1"/>
  <c r="J25" i="1" s="1"/>
  <c r="I23" i="1"/>
  <c r="I25" i="1" s="1"/>
  <c r="H23" i="1"/>
  <c r="H25" i="1" s="1"/>
  <c r="G23" i="1"/>
  <c r="G25" i="1" s="1"/>
  <c r="F15" i="1" l="1"/>
  <c r="J15" i="1"/>
  <c r="I15" i="1"/>
  <c r="H15" i="1"/>
  <c r="G15" i="1"/>
  <c r="F9" i="1"/>
  <c r="J7" i="1"/>
  <c r="I7" i="1"/>
  <c r="H7" i="1"/>
  <c r="G7" i="1"/>
  <c r="J4" i="1" l="1"/>
  <c r="I4" i="1"/>
  <c r="H4" i="1"/>
  <c r="G4" i="1"/>
  <c r="J9" i="1"/>
  <c r="I9" i="1"/>
  <c r="H9" i="1"/>
  <c r="G9" i="1"/>
</calcChain>
</file>

<file path=xl/sharedStrings.xml><?xml version="1.0" encoding="utf-8"?>
<sst xmlns="http://schemas.openxmlformats.org/spreadsheetml/2006/main" count="185" uniqueCount="75">
  <si>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</si>
  <si>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</si>
  <si>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</si>
  <si>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</si>
  <si>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</si>
  <si>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</si>
  <si>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</si>
  <si>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</si>
  <si>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</si>
  <si>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</si>
  <si>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</si>
  <si>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</si>
  <si>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</si>
  <si>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</si>
  <si>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</si>
  <si>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</si>
  <si>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</si>
  <si>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</si>
  <si>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</si>
  <si>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</si>
  <si>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</si>
  <si>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</si>
  <si>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</si>
  <si>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</si>
  <si>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</si>
  <si>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</si>
  <si>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</si>
  <si>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</si>
  <si>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</si>
  <si>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</si>
  <si>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</si>
  <si>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</si>
  <si>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</si>
  <si>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</si>
  <si>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</si>
  <si>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ПР</t>
  </si>
  <si>
    <t>Кондитерское изделие</t>
  </si>
  <si>
    <t>№71-2015г.</t>
  </si>
  <si>
    <t>№250-2015г.</t>
  </si>
  <si>
    <t>Бефстроганов</t>
  </si>
  <si>
    <t>30/30</t>
  </si>
  <si>
    <t>№302-2015г.</t>
  </si>
  <si>
    <t>Каша рассыпчатая гречневая</t>
  </si>
  <si>
    <t>№422-2015г.</t>
  </si>
  <si>
    <t>Булочка ванильная</t>
  </si>
  <si>
    <t>№111-2015г.</t>
  </si>
  <si>
    <t>Напиток</t>
  </si>
  <si>
    <t>№389-2015г.</t>
  </si>
  <si>
    <t>Сок фруктовый</t>
  </si>
  <si>
    <t>Овощи натуральные свежие (помидоры)</t>
  </si>
  <si>
    <t>№312-2015г.</t>
  </si>
  <si>
    <t>Пюре картофельное</t>
  </si>
  <si>
    <t>№425-2015г.</t>
  </si>
  <si>
    <t>Булочка дорожная</t>
  </si>
  <si>
    <t>№171-2015г.</t>
  </si>
  <si>
    <t>Завтрак 5-11 кл с доплатой 62,50 руб. и льготники с доплатой 42,50 руб. 1 смена</t>
  </si>
  <si>
    <t>Завтрак для льготников 5-11 кл</t>
  </si>
  <si>
    <t>Завтрак бюджетный 1-я смена и полдник для детей-инвалидов 2-я смена 5-11 кл</t>
  </si>
  <si>
    <t>Обед 6-7 кл.</t>
  </si>
  <si>
    <t>250/10</t>
  </si>
  <si>
    <t>ТТК №22</t>
  </si>
  <si>
    <t>Биточки рыбные "по-домашнему" из минтая</t>
  </si>
  <si>
    <t>Напиток (сладкое блюдо)</t>
  </si>
  <si>
    <t>Обед дети-инвалиды 5-11 кл</t>
  </si>
  <si>
    <t>Каша рассыпчатая гречневая с маслом и сахаром</t>
  </si>
  <si>
    <t>150/5/10</t>
  </si>
  <si>
    <t>Суп с макаронными изделиями с зеленью</t>
  </si>
  <si>
    <t>250/2</t>
  </si>
  <si>
    <t>Суп с макаронными изделиями с цыплёнком и зеленью</t>
  </si>
  <si>
    <t>№349-2015г.</t>
  </si>
  <si>
    <t>Компот из смеси сухофруктов</t>
  </si>
  <si>
    <t>ТТК №10</t>
  </si>
  <si>
    <t>Пирог "Витаминный"</t>
  </si>
  <si>
    <t>110/5,5</t>
  </si>
  <si>
    <t>Печенье "Лимонное"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</si>
</sst>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3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2" fontId="2" fillId="0" borderId="24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0" xfId="0" applyFont="1"/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2" fontId="2" fillId="0" borderId="29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B16" sqref="B16:J19"/>
    </sheetView>
  </sheetViews>
  <sheetFormatPr defaultRowHeight="15" x14ac:dyDescent="0.25"/>
  <cols>
    <col min="1" max="1" width="24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5" t="s">
        <v>22</v>
      </c>
      <c r="C1" s="56"/>
      <c r="D1" s="1" t="s">
        <v>1</v>
      </c>
      <c r="E1" s="31"/>
      <c r="F1" s="1" t="s">
        <v>2</v>
      </c>
      <c r="G1" s="57">
        <v>44651</v>
      </c>
      <c r="H1" s="58"/>
      <c r="I1" s="58"/>
      <c r="J1" s="59"/>
      <c r="K1" s="1"/>
      <c r="L1" s="1"/>
    </row>
    <row r="2" spans="1:12" ht="15.75" thickBot="1" x14ac:dyDescent="0.3">
      <c r="A2" s="44" t="s">
        <v>3</v>
      </c>
      <c r="B2" s="4" t="s">
        <v>4</v>
      </c>
      <c r="C2" s="46" t="s">
        <v>5</v>
      </c>
      <c r="D2" s="44" t="s">
        <v>6</v>
      </c>
      <c r="E2" s="44" t="s">
        <v>7</v>
      </c>
      <c r="F2" s="44" t="s">
        <v>8</v>
      </c>
      <c r="G2" s="4" t="s">
        <v>9</v>
      </c>
      <c r="H2" s="4" t="s">
        <v>10</v>
      </c>
      <c r="I2" s="4" t="s">
        <v>11</v>
      </c>
      <c r="J2" s="45" t="s">
        <v>12</v>
      </c>
    </row>
    <row r="3" spans="1:12" s="37" customFormat="1" x14ac:dyDescent="0.25">
      <c r="A3" s="71" t="s">
        <v>27</v>
      </c>
      <c r="B3" s="20" t="s">
        <v>31</v>
      </c>
      <c r="C3" s="21" t="s">
        <v>37</v>
      </c>
      <c r="D3" s="21" t="s">
        <v>49</v>
      </c>
      <c r="E3" s="13">
        <v>18</v>
      </c>
      <c r="F3" s="14">
        <v>6.23</v>
      </c>
      <c r="G3" s="14">
        <f>11*0.36</f>
        <v>3.96</v>
      </c>
      <c r="H3" s="14">
        <f>0.55*0.36</f>
        <v>0.19800000000000001</v>
      </c>
      <c r="I3" s="14">
        <f>0.1*0.36</f>
        <v>3.5999999999999997E-2</v>
      </c>
      <c r="J3" s="15">
        <f>1.9*0.36</f>
        <v>0.68399999999999994</v>
      </c>
    </row>
    <row r="4" spans="1:12" s="36" customFormat="1" x14ac:dyDescent="0.25">
      <c r="A4" s="71"/>
      <c r="B4" s="7" t="s">
        <v>13</v>
      </c>
      <c r="C4" s="5" t="s">
        <v>38</v>
      </c>
      <c r="D4" s="5" t="s">
        <v>39</v>
      </c>
      <c r="E4" s="16" t="s">
        <v>40</v>
      </c>
      <c r="F4" s="6">
        <v>48.12</v>
      </c>
      <c r="G4" s="6">
        <f>290*0.6</f>
        <v>174</v>
      </c>
      <c r="H4" s="6">
        <f>15.2*0.6</f>
        <v>9.1199999999999992</v>
      </c>
      <c r="I4" s="6">
        <f>23.1*0.6</f>
        <v>13.860000000000001</v>
      </c>
      <c r="J4" s="8">
        <f>5.12*0.6</f>
        <v>3.0720000000000001</v>
      </c>
      <c r="K4"/>
    </row>
    <row r="5" spans="1:12" s="36" customFormat="1" x14ac:dyDescent="0.25">
      <c r="A5" s="71"/>
      <c r="B5" s="7" t="s">
        <v>17</v>
      </c>
      <c r="C5" s="5" t="s">
        <v>41</v>
      </c>
      <c r="D5" s="5" t="s">
        <v>42</v>
      </c>
      <c r="E5" s="16">
        <v>100</v>
      </c>
      <c r="F5" s="6">
        <v>11.5</v>
      </c>
      <c r="G5" s="28">
        <f>1625*0.1</f>
        <v>162.5</v>
      </c>
      <c r="H5" s="28">
        <f>57.32*0.1</f>
        <v>5.7320000000000002</v>
      </c>
      <c r="I5" s="28">
        <f>40.62*0.1</f>
        <v>4.0620000000000003</v>
      </c>
      <c r="J5" s="29">
        <f>257.61*0.1</f>
        <v>25.761000000000003</v>
      </c>
      <c r="K5"/>
    </row>
    <row r="6" spans="1:12" s="38" customFormat="1" x14ac:dyDescent="0.25">
      <c r="A6" s="71"/>
      <c r="B6" s="7" t="s">
        <v>18</v>
      </c>
      <c r="C6" s="5" t="s">
        <v>19</v>
      </c>
      <c r="D6" s="5" t="s">
        <v>20</v>
      </c>
      <c r="E6" s="16" t="s">
        <v>34</v>
      </c>
      <c r="F6" s="6">
        <v>3.44</v>
      </c>
      <c r="G6" s="6">
        <v>60</v>
      </c>
      <c r="H6" s="6">
        <v>7.0000000000000007E-2</v>
      </c>
      <c r="I6" s="6">
        <v>0.02</v>
      </c>
      <c r="J6" s="8">
        <v>15</v>
      </c>
      <c r="K6"/>
    </row>
    <row r="7" spans="1:12" x14ac:dyDescent="0.25">
      <c r="A7" s="71"/>
      <c r="B7" s="7" t="s">
        <v>21</v>
      </c>
      <c r="C7" s="5" t="s">
        <v>43</v>
      </c>
      <c r="D7" s="5" t="s">
        <v>44</v>
      </c>
      <c r="E7" s="16">
        <v>50</v>
      </c>
      <c r="F7" s="6">
        <v>5.04</v>
      </c>
      <c r="G7" s="30">
        <f>283*0.5</f>
        <v>141.5</v>
      </c>
      <c r="H7" s="30">
        <f>7.9*0.5</f>
        <v>3.95</v>
      </c>
      <c r="I7" s="30">
        <f>8.12*0.5</f>
        <v>4.0599999999999996</v>
      </c>
      <c r="J7" s="30">
        <f>44.48*0.5</f>
        <v>22.24</v>
      </c>
      <c r="K7"/>
    </row>
    <row r="8" spans="1:12" ht="15.75" thickBot="1" x14ac:dyDescent="0.3">
      <c r="A8" s="72"/>
      <c r="B8" s="9" t="s">
        <v>14</v>
      </c>
      <c r="C8" s="10" t="s">
        <v>32</v>
      </c>
      <c r="D8" s="10" t="s">
        <v>33</v>
      </c>
      <c r="E8" s="17">
        <v>10</v>
      </c>
      <c r="F8" s="18">
        <v>0.4</v>
      </c>
      <c r="G8" s="18">
        <f>229.7*0.1</f>
        <v>22.97</v>
      </c>
      <c r="H8" s="11">
        <f>6.7*0.1</f>
        <v>0.67</v>
      </c>
      <c r="I8" s="11">
        <f>1.1*0.1</f>
        <v>0.11000000000000001</v>
      </c>
      <c r="J8" s="12">
        <f>48.3*0.1</f>
        <v>4.83</v>
      </c>
      <c r="K8"/>
    </row>
    <row r="9" spans="1:12" ht="16.5" thickBot="1" x14ac:dyDescent="0.3">
      <c r="A9" s="63" t="s">
        <v>15</v>
      </c>
      <c r="B9" s="64"/>
      <c r="C9" s="64"/>
      <c r="D9" s="64"/>
      <c r="E9" s="65"/>
      <c r="F9" s="19">
        <f>SUM(F3:F8)</f>
        <v>74.73</v>
      </c>
      <c r="G9" s="19">
        <f t="shared" ref="G9:J9" si="0">SUM(G3:G8)</f>
        <v>564.93000000000006</v>
      </c>
      <c r="H9" s="19">
        <f t="shared" si="0"/>
        <v>19.740000000000002</v>
      </c>
      <c r="I9" s="19">
        <f t="shared" si="0"/>
        <v>22.148</v>
      </c>
      <c r="J9" s="19">
        <f t="shared" si="0"/>
        <v>71.587000000000003</v>
      </c>
    </row>
    <row r="10" spans="1:12" s="36" customFormat="1" x14ac:dyDescent="0.25">
      <c r="A10" s="66" t="s">
        <v>28</v>
      </c>
      <c r="B10" s="20" t="s">
        <v>16</v>
      </c>
      <c r="C10" s="21" t="s">
        <v>45</v>
      </c>
      <c r="D10" s="21" t="s">
        <v>66</v>
      </c>
      <c r="E10" s="13" t="s">
        <v>67</v>
      </c>
      <c r="F10" s="14">
        <v>6.82</v>
      </c>
      <c r="G10" s="14">
        <f>468*0.25+211*0</f>
        <v>117</v>
      </c>
      <c r="H10" s="14">
        <f>9.54*0.25+21.1*0</f>
        <v>2.3849999999999998</v>
      </c>
      <c r="I10" s="14">
        <f>20.31*0.25+13.6*0</f>
        <v>5.0774999999999997</v>
      </c>
      <c r="J10" s="15">
        <f>51.98*0.25+0</f>
        <v>12.994999999999999</v>
      </c>
    </row>
    <row r="11" spans="1:12" s="36" customFormat="1" x14ac:dyDescent="0.25">
      <c r="A11" s="67"/>
      <c r="B11" s="7" t="s">
        <v>13</v>
      </c>
      <c r="C11" s="34" t="s">
        <v>60</v>
      </c>
      <c r="D11" s="33" t="s">
        <v>61</v>
      </c>
      <c r="E11" s="16">
        <v>40</v>
      </c>
      <c r="F11" s="6">
        <v>18.350000000000001</v>
      </c>
      <c r="G11" s="30">
        <f>176.27*0.4</f>
        <v>70.50800000000001</v>
      </c>
      <c r="H11" s="30">
        <f>12.67*0.4</f>
        <v>5.0680000000000005</v>
      </c>
      <c r="I11" s="30">
        <f>7.47*0.4</f>
        <v>2.988</v>
      </c>
      <c r="J11" s="30">
        <f>14.53*0.4</f>
        <v>5.8120000000000003</v>
      </c>
      <c r="K11"/>
    </row>
    <row r="12" spans="1:12" x14ac:dyDescent="0.25">
      <c r="A12" s="67"/>
      <c r="B12" s="7" t="s">
        <v>17</v>
      </c>
      <c r="C12" s="34" t="s">
        <v>50</v>
      </c>
      <c r="D12" s="35" t="s">
        <v>51</v>
      </c>
      <c r="E12" s="16">
        <v>100</v>
      </c>
      <c r="F12" s="6">
        <v>14.59</v>
      </c>
      <c r="G12" s="28">
        <f>915*0.1</f>
        <v>91.5</v>
      </c>
      <c r="H12" s="28">
        <f>20.43*0.1</f>
        <v>2.0430000000000001</v>
      </c>
      <c r="I12" s="28">
        <f>32.01*0.1</f>
        <v>3.2010000000000001</v>
      </c>
      <c r="J12" s="29">
        <f>136.26*0.1</f>
        <v>13.625999999999999</v>
      </c>
      <c r="K12"/>
    </row>
    <row r="13" spans="1:12" x14ac:dyDescent="0.25">
      <c r="A13" s="67"/>
      <c r="B13" s="7" t="s">
        <v>18</v>
      </c>
      <c r="C13" s="5" t="s">
        <v>19</v>
      </c>
      <c r="D13" s="5" t="s">
        <v>20</v>
      </c>
      <c r="E13" s="16" t="s">
        <v>34</v>
      </c>
      <c r="F13" s="6">
        <v>3.44</v>
      </c>
      <c r="G13" s="6">
        <v>60</v>
      </c>
      <c r="H13" s="6">
        <v>7.0000000000000007E-2</v>
      </c>
      <c r="I13" s="6">
        <v>0.02</v>
      </c>
      <c r="J13" s="8">
        <v>15</v>
      </c>
      <c r="K13"/>
    </row>
    <row r="14" spans="1:12" ht="15.75" thickBot="1" x14ac:dyDescent="0.3">
      <c r="A14" s="67"/>
      <c r="B14" s="9" t="s">
        <v>14</v>
      </c>
      <c r="C14" s="10" t="s">
        <v>32</v>
      </c>
      <c r="D14" s="10" t="s">
        <v>33</v>
      </c>
      <c r="E14" s="17">
        <v>32.5</v>
      </c>
      <c r="F14" s="18">
        <v>1.33</v>
      </c>
      <c r="G14" s="18">
        <f>229.7*0.325</f>
        <v>74.652500000000003</v>
      </c>
      <c r="H14" s="11">
        <f>6.7*0.325</f>
        <v>2.1775000000000002</v>
      </c>
      <c r="I14" s="11">
        <f>1.1*0.325</f>
        <v>0.35750000000000004</v>
      </c>
      <c r="J14" s="12">
        <f>48.3*0.325</f>
        <v>15.6975</v>
      </c>
    </row>
    <row r="15" spans="1:12" ht="16.5" thickBot="1" x14ac:dyDescent="0.3">
      <c r="A15" s="68" t="s">
        <v>15</v>
      </c>
      <c r="B15" s="64"/>
      <c r="C15" s="64"/>
      <c r="D15" s="64"/>
      <c r="E15" s="65"/>
      <c r="F15" s="19">
        <f>SUM(F10:F14)</f>
        <v>44.53</v>
      </c>
      <c r="G15" s="19">
        <f t="shared" ref="G15:J15" si="1">SUM(G10:G14)</f>
        <v>413.66050000000007</v>
      </c>
      <c r="H15" s="19">
        <f t="shared" si="1"/>
        <v>11.743500000000001</v>
      </c>
      <c r="I15" s="19">
        <f t="shared" si="1"/>
        <v>11.644</v>
      </c>
      <c r="J15" s="19">
        <f t="shared" si="1"/>
        <v>63.130499999999998</v>
      </c>
    </row>
    <row r="16" spans="1:12" s="49" customFormat="1" ht="30" x14ac:dyDescent="0.25">
      <c r="A16" s="76" t="s">
        <v>29</v>
      </c>
      <c r="B16" s="20" t="s">
        <v>16</v>
      </c>
      <c r="C16" s="21" t="s">
        <v>45</v>
      </c>
      <c r="D16" s="21" t="s">
        <v>68</v>
      </c>
      <c r="E16" s="13" t="s">
        <v>59</v>
      </c>
      <c r="F16" s="14">
        <v>14.59</v>
      </c>
      <c r="G16" s="14">
        <f>468*0.25+211*0.1</f>
        <v>138.1</v>
      </c>
      <c r="H16" s="14">
        <f>9.54*0.25+21.1*0.1</f>
        <v>4.4950000000000001</v>
      </c>
      <c r="I16" s="14">
        <f>20.31*0.25+13.6*0.1</f>
        <v>6.4375</v>
      </c>
      <c r="J16" s="15">
        <f>51.98*0.25+0</f>
        <v>12.994999999999999</v>
      </c>
    </row>
    <row r="17" spans="1:11" x14ac:dyDescent="0.25">
      <c r="A17" s="77"/>
      <c r="B17" s="7" t="s">
        <v>13</v>
      </c>
      <c r="C17" s="34" t="s">
        <v>60</v>
      </c>
      <c r="D17" s="34" t="s">
        <v>61</v>
      </c>
      <c r="E17" s="16">
        <v>60</v>
      </c>
      <c r="F17" s="6">
        <v>27.53</v>
      </c>
      <c r="G17" s="30">
        <f>176.27*0.6</f>
        <v>105.762</v>
      </c>
      <c r="H17" s="30">
        <f>12.67*0.6</f>
        <v>7.6019999999999994</v>
      </c>
      <c r="I17" s="30">
        <f>7.47*0.6</f>
        <v>4.4819999999999993</v>
      </c>
      <c r="J17" s="32">
        <f>14.53*0.6</f>
        <v>8.718</v>
      </c>
    </row>
    <row r="18" spans="1:11" s="25" customFormat="1" x14ac:dyDescent="0.25">
      <c r="A18" s="77"/>
      <c r="B18" s="7" t="s">
        <v>17</v>
      </c>
      <c r="C18" s="34" t="s">
        <v>50</v>
      </c>
      <c r="D18" s="35" t="s">
        <v>51</v>
      </c>
      <c r="E18" s="16">
        <v>140</v>
      </c>
      <c r="F18" s="6">
        <v>20.43</v>
      </c>
      <c r="G18" s="28">
        <f>915*0.14</f>
        <v>128.10000000000002</v>
      </c>
      <c r="H18" s="28">
        <f>20.43*0.14</f>
        <v>2.8602000000000003</v>
      </c>
      <c r="I18" s="28">
        <f>32.01*0.14</f>
        <v>4.4813999999999998</v>
      </c>
      <c r="J18" s="29">
        <f>136.26*0.14</f>
        <v>19.0764</v>
      </c>
      <c r="K18"/>
    </row>
    <row r="19" spans="1:11" x14ac:dyDescent="0.25">
      <c r="A19" s="77"/>
      <c r="B19" s="7" t="s">
        <v>62</v>
      </c>
      <c r="C19" s="34" t="s">
        <v>69</v>
      </c>
      <c r="D19" s="35" t="s">
        <v>70</v>
      </c>
      <c r="E19" s="16">
        <v>200</v>
      </c>
      <c r="F19" s="6">
        <v>7.17</v>
      </c>
      <c r="G19" s="6">
        <v>132.80000000000001</v>
      </c>
      <c r="H19" s="26">
        <v>0.66</v>
      </c>
      <c r="I19" s="26">
        <v>0.09</v>
      </c>
      <c r="J19" s="27">
        <v>32.01</v>
      </c>
      <c r="K19"/>
    </row>
    <row r="20" spans="1:11" s="42" customFormat="1" x14ac:dyDescent="0.25">
      <c r="A20" s="77"/>
      <c r="B20" s="7" t="s">
        <v>21</v>
      </c>
      <c r="C20" s="5" t="s">
        <v>52</v>
      </c>
      <c r="D20" s="5" t="s">
        <v>53</v>
      </c>
      <c r="E20" s="16">
        <v>50</v>
      </c>
      <c r="F20" s="6">
        <v>3.76</v>
      </c>
      <c r="G20" s="30">
        <v>160.5</v>
      </c>
      <c r="H20" s="30">
        <v>3.39</v>
      </c>
      <c r="I20" s="30">
        <v>6.98</v>
      </c>
      <c r="J20" s="32">
        <v>21.07</v>
      </c>
      <c r="K20"/>
    </row>
    <row r="21" spans="1:11" ht="15.75" thickBot="1" x14ac:dyDescent="0.3">
      <c r="A21" s="78"/>
      <c r="B21" s="9" t="s">
        <v>14</v>
      </c>
      <c r="C21" s="10" t="s">
        <v>32</v>
      </c>
      <c r="D21" s="10" t="s">
        <v>33</v>
      </c>
      <c r="E21" s="17">
        <v>30.5</v>
      </c>
      <c r="F21" s="18">
        <v>1.25</v>
      </c>
      <c r="G21" s="18">
        <f>229.7*0.305</f>
        <v>70.058499999999995</v>
      </c>
      <c r="H21" s="11">
        <f>6.7*0.305</f>
        <v>2.0434999999999999</v>
      </c>
      <c r="I21" s="11">
        <f>1.1*0.305</f>
        <v>0.33550000000000002</v>
      </c>
      <c r="J21" s="12">
        <f>48.3*0.305</f>
        <v>14.731499999999999</v>
      </c>
      <c r="K21"/>
    </row>
    <row r="22" spans="1:11" ht="16.5" thickBot="1" x14ac:dyDescent="0.3">
      <c r="A22" s="69" t="s">
        <v>15</v>
      </c>
      <c r="B22" s="64"/>
      <c r="C22" s="64"/>
      <c r="D22" s="64"/>
      <c r="E22" s="65"/>
      <c r="F22" s="19">
        <f>SUM(F16:F21)</f>
        <v>74.73</v>
      </c>
      <c r="G22" s="19">
        <f>SUM(G16:G21)</f>
        <v>735.32049999999992</v>
      </c>
      <c r="H22" s="19">
        <f>SUM(H16:H21)</f>
        <v>21.050699999999999</v>
      </c>
      <c r="I22" s="19">
        <f>SUM(I16:I21)</f>
        <v>22.8064</v>
      </c>
      <c r="J22" s="19">
        <f>SUM(J16:J21)</f>
        <v>108.60089999999998</v>
      </c>
      <c r="K22"/>
    </row>
    <row r="23" spans="1:11" x14ac:dyDescent="0.25">
      <c r="A23" s="66" t="s">
        <v>30</v>
      </c>
      <c r="B23" s="20" t="s">
        <v>46</v>
      </c>
      <c r="C23" s="21" t="s">
        <v>47</v>
      </c>
      <c r="D23" s="21" t="s">
        <v>48</v>
      </c>
      <c r="E23" s="47">
        <v>200</v>
      </c>
      <c r="F23" s="22">
        <v>20</v>
      </c>
      <c r="G23" s="24">
        <f>424*0.2</f>
        <v>84.800000000000011</v>
      </c>
      <c r="H23" s="14">
        <f>5*0.2</f>
        <v>1</v>
      </c>
      <c r="I23" s="14">
        <f>0</f>
        <v>0</v>
      </c>
      <c r="J23" s="15">
        <f>101*0.2</f>
        <v>20.200000000000003</v>
      </c>
      <c r="K23"/>
    </row>
    <row r="24" spans="1:11" s="37" customFormat="1" ht="15.75" thickBot="1" x14ac:dyDescent="0.3">
      <c r="A24" s="67"/>
      <c r="B24" s="9" t="s">
        <v>21</v>
      </c>
      <c r="C24" s="10" t="s">
        <v>71</v>
      </c>
      <c r="D24" s="10" t="s">
        <v>72</v>
      </c>
      <c r="E24" s="17" t="s">
        <v>73</v>
      </c>
      <c r="F24" s="18">
        <v>24.53</v>
      </c>
      <c r="G24" s="18">
        <f>207.5*1.1</f>
        <v>228.25000000000003</v>
      </c>
      <c r="H24" s="11">
        <f>4.3*1.1</f>
        <v>4.7300000000000004</v>
      </c>
      <c r="I24" s="11">
        <f>2.8*1.1</f>
        <v>3.08</v>
      </c>
      <c r="J24" s="12">
        <f>41.4*1.1</f>
        <v>45.54</v>
      </c>
      <c r="K24"/>
    </row>
    <row r="25" spans="1:11" ht="16.5" thickBot="1" x14ac:dyDescent="0.3">
      <c r="A25" s="73" t="s">
        <v>15</v>
      </c>
      <c r="B25" s="74"/>
      <c r="C25" s="74"/>
      <c r="D25" s="74"/>
      <c r="E25" s="75"/>
      <c r="F25" s="39">
        <f>SUM(F23:F24)</f>
        <v>44.53</v>
      </c>
      <c r="G25" s="39">
        <f>SUM(G23:G24)</f>
        <v>313.05000000000007</v>
      </c>
      <c r="H25" s="39">
        <f>SUM(H23:H24)</f>
        <v>5.73</v>
      </c>
      <c r="I25" s="39">
        <f>SUM(I23:I24)</f>
        <v>3.08</v>
      </c>
      <c r="J25" s="39">
        <f>SUM(J23:J24)</f>
        <v>65.740000000000009</v>
      </c>
      <c r="K25"/>
    </row>
    <row r="27" spans="1:11" ht="15.75" thickBot="1" x14ac:dyDescent="0.3">
      <c r="A27" s="61" t="s">
        <v>25</v>
      </c>
      <c r="B27" s="61"/>
      <c r="C27" s="61"/>
      <c r="D27" s="61"/>
      <c r="E27" s="61"/>
      <c r="F27" s="61"/>
      <c r="G27" s="61"/>
      <c r="H27" s="61"/>
      <c r="I27" s="61"/>
      <c r="J27" s="61"/>
    </row>
    <row r="28" spans="1:11" ht="15.75" x14ac:dyDescent="0.25">
      <c r="A28" s="23"/>
      <c r="B28" s="23"/>
      <c r="C28" s="60" t="s">
        <v>23</v>
      </c>
      <c r="D28" s="60"/>
      <c r="G28" s="62"/>
      <c r="H28" s="62"/>
      <c r="I28" s="62"/>
      <c r="J28" s="62"/>
    </row>
    <row r="29" spans="1:11" x14ac:dyDescent="0.25">
      <c r="A29" s="1"/>
      <c r="B29" s="1"/>
      <c r="C29" s="1"/>
      <c r="D29" s="1"/>
    </row>
    <row r="30" spans="1:11" x14ac:dyDescent="0.25">
      <c r="A30" s="70" t="s">
        <v>24</v>
      </c>
      <c r="B30" s="70"/>
    </row>
    <row r="31" spans="1:11" x14ac:dyDescent="0.25">
      <c r="A31" s="70" t="s">
        <v>26</v>
      </c>
      <c r="B31" s="70"/>
    </row>
    <row r="32" spans="1:11" x14ac:dyDescent="0.25">
      <c r="A32" s="3"/>
    </row>
    <row r="36" customFormat="1" x14ac:dyDescent="0.25"/>
    <row r="37" customFormat="1" x14ac:dyDescent="0.25"/>
    <row r="38" customFormat="1" x14ac:dyDescent="0.25"/>
    <row r="39" customFormat="1" x14ac:dyDescent="0.25"/>
  </sheetData>
  <mergeCells count="15">
    <mergeCell ref="A30:B30"/>
    <mergeCell ref="A31:B31"/>
    <mergeCell ref="A3:A8"/>
    <mergeCell ref="A23:A24"/>
    <mergeCell ref="A25:E25"/>
    <mergeCell ref="A16:A21"/>
    <mergeCell ref="B1:C1"/>
    <mergeCell ref="G1:J1"/>
    <mergeCell ref="C28:D28"/>
    <mergeCell ref="A27:J27"/>
    <mergeCell ref="G28:J28"/>
    <mergeCell ref="A9:E9"/>
    <mergeCell ref="A10:A14"/>
    <mergeCell ref="A15:E15"/>
    <mergeCell ref="A22:E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7" workbookViewId="0">
      <selection activeCell="J27" sqref="J27"/>
    </sheetView>
  </sheetViews>
  <sheetFormatPr defaultRowHeight="15" x14ac:dyDescent="0.25"/>
  <cols>
    <col min="1" max="1" width="24" style="42" customWidth="1"/>
    <col min="2" max="2" width="24.7109375" style="42" customWidth="1"/>
    <col min="3" max="3" width="12.28515625" style="42" customWidth="1"/>
    <col min="4" max="4" width="47.85546875" style="42" customWidth="1"/>
    <col min="5" max="5" width="10.140625" style="42" bestFit="1" customWidth="1"/>
    <col min="6" max="6" width="9.140625" style="42"/>
    <col min="7" max="7" width="18.140625" style="42" customWidth="1"/>
    <col min="8" max="8" width="11.42578125" style="42" bestFit="1" customWidth="1"/>
    <col min="9" max="9" width="9.140625" style="42"/>
    <col min="10" max="10" width="10.85546875" style="42" customWidth="1"/>
    <col min="11" max="16384" width="9.140625" style="42"/>
  </cols>
  <sheetData>
    <row r="1" spans="1:12" ht="15.75" thickBot="1" x14ac:dyDescent="0.3">
      <c r="A1" s="1" t="s">
        <v>0</v>
      </c>
      <c r="B1" s="55" t="s">
        <v>22</v>
      </c>
      <c r="C1" s="56"/>
      <c r="D1" s="1" t="s">
        <v>1</v>
      </c>
      <c r="E1" s="31"/>
      <c r="F1" s="1" t="s">
        <v>2</v>
      </c>
      <c r="G1" s="57">
        <v>44651</v>
      </c>
      <c r="H1" s="58"/>
      <c r="I1" s="58"/>
      <c r="J1" s="59"/>
      <c r="K1" s="1"/>
      <c r="L1" s="1"/>
    </row>
    <row r="2" spans="1:12" ht="15.75" thickBot="1" x14ac:dyDescent="0.3">
      <c r="A2" s="44" t="s">
        <v>3</v>
      </c>
      <c r="B2" s="4" t="s">
        <v>4</v>
      </c>
      <c r="C2" s="46" t="s">
        <v>5</v>
      </c>
      <c r="D2" s="54" t="s">
        <v>6</v>
      </c>
      <c r="E2" s="54" t="s">
        <v>7</v>
      </c>
      <c r="F2" s="54" t="s">
        <v>8</v>
      </c>
      <c r="G2" s="4" t="s">
        <v>9</v>
      </c>
      <c r="H2" s="4" t="s">
        <v>10</v>
      </c>
      <c r="I2" s="4" t="s">
        <v>11</v>
      </c>
      <c r="J2" s="45" t="s">
        <v>12</v>
      </c>
    </row>
    <row r="3" spans="1:12" x14ac:dyDescent="0.25">
      <c r="A3" s="71" t="s">
        <v>55</v>
      </c>
      <c r="B3" s="20" t="s">
        <v>13</v>
      </c>
      <c r="C3" s="21" t="s">
        <v>38</v>
      </c>
      <c r="D3" s="21" t="s">
        <v>39</v>
      </c>
      <c r="E3" s="13" t="s">
        <v>40</v>
      </c>
      <c r="F3" s="14">
        <v>48.12</v>
      </c>
      <c r="G3" s="14">
        <f>290*0.6</f>
        <v>174</v>
      </c>
      <c r="H3" s="14">
        <f>15.2*0.6</f>
        <v>9.1199999999999992</v>
      </c>
      <c r="I3" s="14">
        <f>23.1*0.6</f>
        <v>13.860000000000001</v>
      </c>
      <c r="J3" s="15">
        <f>5.12*0.6</f>
        <v>3.0720000000000001</v>
      </c>
    </row>
    <row r="4" spans="1:12" x14ac:dyDescent="0.25">
      <c r="A4" s="71"/>
      <c r="B4" s="7" t="s">
        <v>17</v>
      </c>
      <c r="C4" s="5" t="s">
        <v>41</v>
      </c>
      <c r="D4" s="5" t="s">
        <v>42</v>
      </c>
      <c r="E4" s="16">
        <v>100</v>
      </c>
      <c r="F4" s="6">
        <v>11.5</v>
      </c>
      <c r="G4" s="28">
        <f>1625*0.1</f>
        <v>162.5</v>
      </c>
      <c r="H4" s="28">
        <f>57.32*0.1</f>
        <v>5.7320000000000002</v>
      </c>
      <c r="I4" s="28">
        <f>40.62*0.1</f>
        <v>4.0620000000000003</v>
      </c>
      <c r="J4" s="29">
        <f>257.61*0.1</f>
        <v>25.761000000000003</v>
      </c>
      <c r="K4"/>
    </row>
    <row r="5" spans="1:12" x14ac:dyDescent="0.25">
      <c r="A5" s="71"/>
      <c r="B5" s="7" t="s">
        <v>18</v>
      </c>
      <c r="C5" s="5" t="s">
        <v>19</v>
      </c>
      <c r="D5" s="5" t="s">
        <v>20</v>
      </c>
      <c r="E5" s="16" t="s">
        <v>34</v>
      </c>
      <c r="F5" s="6">
        <v>3.44</v>
      </c>
      <c r="G5" s="6">
        <v>60</v>
      </c>
      <c r="H5" s="6">
        <v>7.0000000000000007E-2</v>
      </c>
      <c r="I5" s="6">
        <v>0.02</v>
      </c>
      <c r="J5" s="8">
        <v>15</v>
      </c>
      <c r="K5"/>
    </row>
    <row r="6" spans="1:12" x14ac:dyDescent="0.25">
      <c r="A6" s="71"/>
      <c r="B6" s="7" t="s">
        <v>21</v>
      </c>
      <c r="C6" s="5" t="s">
        <v>43</v>
      </c>
      <c r="D6" s="5" t="s">
        <v>44</v>
      </c>
      <c r="E6" s="16">
        <v>50</v>
      </c>
      <c r="F6" s="6">
        <v>5.04</v>
      </c>
      <c r="G6" s="30">
        <f>283*0.5</f>
        <v>141.5</v>
      </c>
      <c r="H6" s="30">
        <f>7.9*0.5</f>
        <v>3.95</v>
      </c>
      <c r="I6" s="30">
        <f>8.12*0.5</f>
        <v>4.0599999999999996</v>
      </c>
      <c r="J6" s="30">
        <f>44.48*0.5</f>
        <v>22.24</v>
      </c>
      <c r="K6"/>
    </row>
    <row r="7" spans="1:12" ht="15.75" thickBot="1" x14ac:dyDescent="0.3">
      <c r="A7" s="71"/>
      <c r="B7" s="9" t="s">
        <v>14</v>
      </c>
      <c r="C7" s="10" t="s">
        <v>32</v>
      </c>
      <c r="D7" s="10" t="s">
        <v>33</v>
      </c>
      <c r="E7" s="17">
        <v>34.200000000000003</v>
      </c>
      <c r="F7" s="18">
        <v>1.4</v>
      </c>
      <c r="G7" s="18">
        <f>229.7*0.342</f>
        <v>78.557400000000001</v>
      </c>
      <c r="H7" s="11">
        <f>6.7*0.342</f>
        <v>2.2914000000000003</v>
      </c>
      <c r="I7" s="11">
        <f>1.1*0.342</f>
        <v>0.37620000000000003</v>
      </c>
      <c r="J7" s="12">
        <f>48.3*0.342</f>
        <v>16.518599999999999</v>
      </c>
      <c r="K7"/>
    </row>
    <row r="8" spans="1:12" ht="16.5" thickBot="1" x14ac:dyDescent="0.3">
      <c r="A8" s="63" t="s">
        <v>15</v>
      </c>
      <c r="B8" s="64"/>
      <c r="C8" s="64"/>
      <c r="D8" s="64"/>
      <c r="E8" s="65"/>
      <c r="F8" s="19">
        <f>SUM(F3:F7)</f>
        <v>69.5</v>
      </c>
      <c r="G8" s="19">
        <f>SUM(G3:G7)</f>
        <v>616.55740000000003</v>
      </c>
      <c r="H8" s="19">
        <f>SUM(H3:H7)</f>
        <v>21.163399999999999</v>
      </c>
      <c r="I8" s="19">
        <f>SUM(I3:I7)</f>
        <v>22.3782</v>
      </c>
      <c r="J8" s="19">
        <f>SUM(J3:J7)</f>
        <v>82.5916</v>
      </c>
    </row>
    <row r="9" spans="1:12" x14ac:dyDescent="0.25">
      <c r="A9" s="71" t="s">
        <v>56</v>
      </c>
      <c r="B9" s="20" t="s">
        <v>13</v>
      </c>
      <c r="C9" s="21" t="s">
        <v>54</v>
      </c>
      <c r="D9" s="21" t="s">
        <v>64</v>
      </c>
      <c r="E9" s="13" t="s">
        <v>65</v>
      </c>
      <c r="F9" s="14">
        <v>23.09</v>
      </c>
      <c r="G9" s="50">
        <f>1625*0.15+66*0.5+40*1</f>
        <v>316.75</v>
      </c>
      <c r="H9" s="50">
        <f>57.32*0.15+0.08*0.5</f>
        <v>8.6379999999999981</v>
      </c>
      <c r="I9" s="50">
        <f>40.62*0.15+7.25*0.5</f>
        <v>9.718</v>
      </c>
      <c r="J9" s="51">
        <f>257.61*0.15+0.13*0.5+9.98*1</f>
        <v>48.686499999999995</v>
      </c>
      <c r="K9"/>
    </row>
    <row r="10" spans="1:12" x14ac:dyDescent="0.25">
      <c r="A10" s="71"/>
      <c r="B10" s="7" t="s">
        <v>18</v>
      </c>
      <c r="C10" s="5" t="s">
        <v>19</v>
      </c>
      <c r="D10" s="5" t="s">
        <v>20</v>
      </c>
      <c r="E10" s="16" t="s">
        <v>34</v>
      </c>
      <c r="F10" s="6">
        <v>3.44</v>
      </c>
      <c r="G10" s="6">
        <v>60</v>
      </c>
      <c r="H10" s="6">
        <v>7.0000000000000007E-2</v>
      </c>
      <c r="I10" s="6">
        <v>0.02</v>
      </c>
      <c r="J10" s="8">
        <v>15</v>
      </c>
      <c r="K10"/>
    </row>
    <row r="11" spans="1:12" ht="15.75" thickBot="1" x14ac:dyDescent="0.3">
      <c r="A11" s="72"/>
      <c r="B11" s="9" t="s">
        <v>14</v>
      </c>
      <c r="C11" s="10" t="s">
        <v>32</v>
      </c>
      <c r="D11" s="10" t="s">
        <v>33</v>
      </c>
      <c r="E11" s="17">
        <v>11.5</v>
      </c>
      <c r="F11" s="18">
        <v>0.47</v>
      </c>
      <c r="G11" s="18">
        <f>229.7*0.115</f>
        <v>26.415500000000002</v>
      </c>
      <c r="H11" s="11">
        <f>6.7*0.115</f>
        <v>0.77050000000000007</v>
      </c>
      <c r="I11" s="11">
        <f>1.1*0.115</f>
        <v>0.12650000000000003</v>
      </c>
      <c r="J11" s="12">
        <f>48.3*0.115</f>
        <v>5.5545</v>
      </c>
      <c r="K11"/>
    </row>
    <row r="12" spans="1:12" ht="16.5" thickBot="1" x14ac:dyDescent="0.3">
      <c r="A12" s="63" t="s">
        <v>15</v>
      </c>
      <c r="B12" s="64"/>
      <c r="C12" s="64"/>
      <c r="D12" s="64"/>
      <c r="E12" s="65"/>
      <c r="F12" s="19">
        <f>SUM(F9:F11)</f>
        <v>27</v>
      </c>
      <c r="G12" s="19">
        <f>SUM(G9:G11)</f>
        <v>403.16550000000001</v>
      </c>
      <c r="H12" s="19">
        <f>SUM(H9:H11)</f>
        <v>9.4784999999999986</v>
      </c>
      <c r="I12" s="19">
        <f>SUM(I9:I11)</f>
        <v>9.8644999999999996</v>
      </c>
      <c r="J12" s="19">
        <f>SUM(J9:J11)</f>
        <v>69.241</v>
      </c>
    </row>
    <row r="13" spans="1:12" x14ac:dyDescent="0.25">
      <c r="A13" s="71" t="s">
        <v>57</v>
      </c>
      <c r="B13" s="20" t="s">
        <v>18</v>
      </c>
      <c r="C13" s="21" t="s">
        <v>19</v>
      </c>
      <c r="D13" s="21" t="s">
        <v>20</v>
      </c>
      <c r="E13" s="13" t="s">
        <v>34</v>
      </c>
      <c r="F13" s="14">
        <v>3.44</v>
      </c>
      <c r="G13" s="14">
        <v>60</v>
      </c>
      <c r="H13" s="14">
        <v>7.0000000000000007E-2</v>
      </c>
      <c r="I13" s="14">
        <v>0.02</v>
      </c>
      <c r="J13" s="15">
        <v>15</v>
      </c>
    </row>
    <row r="14" spans="1:12" ht="15.75" thickBot="1" x14ac:dyDescent="0.3">
      <c r="A14" s="71"/>
      <c r="B14" s="9" t="s">
        <v>36</v>
      </c>
      <c r="C14" s="10" t="s">
        <v>35</v>
      </c>
      <c r="D14" s="10" t="s">
        <v>74</v>
      </c>
      <c r="E14" s="48">
        <v>16</v>
      </c>
      <c r="F14" s="11">
        <v>3.56</v>
      </c>
      <c r="G14" s="40">
        <v>76.8</v>
      </c>
      <c r="H14" s="40">
        <v>1.44</v>
      </c>
      <c r="I14" s="40">
        <v>2.88</v>
      </c>
      <c r="J14" s="41">
        <v>11.2</v>
      </c>
      <c r="K14"/>
    </row>
    <row r="15" spans="1:12" ht="16.5" thickBot="1" x14ac:dyDescent="0.3">
      <c r="A15" s="63" t="s">
        <v>15</v>
      </c>
      <c r="B15" s="64"/>
      <c r="C15" s="64"/>
      <c r="D15" s="64"/>
      <c r="E15" s="65"/>
      <c r="F15" s="19">
        <f>SUM(F13:F14)</f>
        <v>7</v>
      </c>
      <c r="G15" s="19">
        <f>SUM(G13:G14)</f>
        <v>136.80000000000001</v>
      </c>
      <c r="H15" s="19">
        <f>SUM(H13:H14)</f>
        <v>1.51</v>
      </c>
      <c r="I15" s="19">
        <f>SUM(I13:I14)</f>
        <v>2.9</v>
      </c>
      <c r="J15" s="19">
        <f>SUM(J13:J14)</f>
        <v>26.2</v>
      </c>
    </row>
    <row r="16" spans="1:12" x14ac:dyDescent="0.25">
      <c r="A16" s="66" t="s">
        <v>63</v>
      </c>
      <c r="B16" s="20" t="s">
        <v>16</v>
      </c>
      <c r="C16" s="21" t="s">
        <v>45</v>
      </c>
      <c r="D16" s="21" t="s">
        <v>66</v>
      </c>
      <c r="E16" s="13" t="s">
        <v>67</v>
      </c>
      <c r="F16" s="14">
        <v>6.82</v>
      </c>
      <c r="G16" s="14">
        <f>468*0.25+211*0</f>
        <v>117</v>
      </c>
      <c r="H16" s="14">
        <f>9.54*0.25+21.1*0</f>
        <v>2.3849999999999998</v>
      </c>
      <c r="I16" s="14">
        <f>20.31*0.25+13.6*0</f>
        <v>5.0774999999999997</v>
      </c>
      <c r="J16" s="15">
        <f>51.98*0.25+0</f>
        <v>12.994999999999999</v>
      </c>
    </row>
    <row r="17" spans="1:11" x14ac:dyDescent="0.25">
      <c r="A17" s="67"/>
      <c r="B17" s="7" t="s">
        <v>13</v>
      </c>
      <c r="C17" s="34" t="s">
        <v>60</v>
      </c>
      <c r="D17" s="33" t="s">
        <v>61</v>
      </c>
      <c r="E17" s="16">
        <v>40</v>
      </c>
      <c r="F17" s="6">
        <v>18.350000000000001</v>
      </c>
      <c r="G17" s="30">
        <f>176.27*0.4</f>
        <v>70.50800000000001</v>
      </c>
      <c r="H17" s="30">
        <f>12.67*0.4</f>
        <v>5.0680000000000005</v>
      </c>
      <c r="I17" s="30">
        <f>7.47*0.4</f>
        <v>2.988</v>
      </c>
      <c r="J17" s="30">
        <f>14.53*0.4</f>
        <v>5.8120000000000003</v>
      </c>
      <c r="K17"/>
    </row>
    <row r="18" spans="1:11" x14ac:dyDescent="0.25">
      <c r="A18" s="67"/>
      <c r="B18" s="7" t="s">
        <v>17</v>
      </c>
      <c r="C18" s="34" t="s">
        <v>50</v>
      </c>
      <c r="D18" s="35" t="s">
        <v>51</v>
      </c>
      <c r="E18" s="16">
        <v>100</v>
      </c>
      <c r="F18" s="6">
        <v>14.59</v>
      </c>
      <c r="G18" s="28">
        <f>915*0.1</f>
        <v>91.5</v>
      </c>
      <c r="H18" s="28">
        <f>20.43*0.1</f>
        <v>2.0430000000000001</v>
      </c>
      <c r="I18" s="28">
        <f>32.01*0.1</f>
        <v>3.2010000000000001</v>
      </c>
      <c r="J18" s="29">
        <f>136.26*0.1</f>
        <v>13.625999999999999</v>
      </c>
      <c r="K18"/>
    </row>
    <row r="19" spans="1:11" x14ac:dyDescent="0.25">
      <c r="A19" s="67"/>
      <c r="B19" s="7" t="s">
        <v>18</v>
      </c>
      <c r="C19" s="5" t="s">
        <v>19</v>
      </c>
      <c r="D19" s="5" t="s">
        <v>20</v>
      </c>
      <c r="E19" s="16" t="s">
        <v>34</v>
      </c>
      <c r="F19" s="6">
        <v>3.44</v>
      </c>
      <c r="G19" s="6">
        <v>60</v>
      </c>
      <c r="H19" s="6">
        <v>7.0000000000000007E-2</v>
      </c>
      <c r="I19" s="6">
        <v>0.02</v>
      </c>
      <c r="J19" s="8">
        <v>15</v>
      </c>
      <c r="K19"/>
    </row>
    <row r="20" spans="1:11" ht="15.75" thickBot="1" x14ac:dyDescent="0.3">
      <c r="A20" s="67"/>
      <c r="B20" s="9" t="s">
        <v>14</v>
      </c>
      <c r="C20" s="10" t="s">
        <v>32</v>
      </c>
      <c r="D20" s="10" t="s">
        <v>33</v>
      </c>
      <c r="E20" s="17">
        <v>44</v>
      </c>
      <c r="F20" s="18">
        <v>1.8</v>
      </c>
      <c r="G20" s="18">
        <f>229.7*0.44</f>
        <v>101.068</v>
      </c>
      <c r="H20" s="11">
        <f>6.7*0.44</f>
        <v>2.948</v>
      </c>
      <c r="I20" s="11">
        <f>1.1*0.44</f>
        <v>0.48400000000000004</v>
      </c>
      <c r="J20" s="12">
        <f>48.3*0.44</f>
        <v>21.251999999999999</v>
      </c>
    </row>
    <row r="21" spans="1:11" ht="16.5" thickBot="1" x14ac:dyDescent="0.3">
      <c r="A21" s="73" t="s">
        <v>15</v>
      </c>
      <c r="B21" s="64"/>
      <c r="C21" s="64"/>
      <c r="D21" s="64"/>
      <c r="E21" s="65"/>
      <c r="F21" s="19">
        <f>SUM(F16:F20)</f>
        <v>45</v>
      </c>
      <c r="G21" s="19">
        <f t="shared" ref="G21:J21" si="0">SUM(G16:G20)</f>
        <v>440.07600000000002</v>
      </c>
      <c r="H21" s="19">
        <f t="shared" si="0"/>
        <v>12.514000000000001</v>
      </c>
      <c r="I21" s="19">
        <f t="shared" si="0"/>
        <v>11.7705</v>
      </c>
      <c r="J21" s="19">
        <f t="shared" si="0"/>
        <v>68.685000000000002</v>
      </c>
    </row>
    <row r="22" spans="1:11" ht="30" x14ac:dyDescent="0.25">
      <c r="A22" s="79" t="s">
        <v>58</v>
      </c>
      <c r="B22" s="20" t="s">
        <v>16</v>
      </c>
      <c r="C22" s="21" t="s">
        <v>45</v>
      </c>
      <c r="D22" s="21" t="s">
        <v>68</v>
      </c>
      <c r="E22" s="13" t="s">
        <v>59</v>
      </c>
      <c r="F22" s="14">
        <v>14.59</v>
      </c>
      <c r="G22" s="14">
        <f>468*0.25+211*0.1</f>
        <v>138.1</v>
      </c>
      <c r="H22" s="14">
        <f>9.54*0.25+21.1*0.1</f>
        <v>4.4950000000000001</v>
      </c>
      <c r="I22" s="14">
        <f>20.31*0.25+13.6*0.1</f>
        <v>6.4375</v>
      </c>
      <c r="J22" s="15">
        <f>51.98*0.25+0</f>
        <v>12.994999999999999</v>
      </c>
    </row>
    <row r="23" spans="1:11" x14ac:dyDescent="0.25">
      <c r="A23" s="80"/>
      <c r="B23" s="7" t="s">
        <v>13</v>
      </c>
      <c r="C23" s="34" t="s">
        <v>60</v>
      </c>
      <c r="D23" s="34" t="s">
        <v>61</v>
      </c>
      <c r="E23" s="16">
        <v>60</v>
      </c>
      <c r="F23" s="6">
        <v>27.53</v>
      </c>
      <c r="G23" s="30">
        <f>176.27*0.6</f>
        <v>105.762</v>
      </c>
      <c r="H23" s="30">
        <f>12.67*0.6</f>
        <v>7.6019999999999994</v>
      </c>
      <c r="I23" s="30">
        <f>7.47*0.6</f>
        <v>4.4819999999999993</v>
      </c>
      <c r="J23" s="32">
        <f>14.53*0.6</f>
        <v>8.718</v>
      </c>
    </row>
    <row r="24" spans="1:11" s="49" customFormat="1" x14ac:dyDescent="0.25">
      <c r="A24" s="80"/>
      <c r="B24" s="7" t="s">
        <v>17</v>
      </c>
      <c r="C24" s="34" t="s">
        <v>50</v>
      </c>
      <c r="D24" s="35" t="s">
        <v>51</v>
      </c>
      <c r="E24" s="16">
        <v>130</v>
      </c>
      <c r="F24" s="6">
        <v>18.97</v>
      </c>
      <c r="G24" s="28">
        <f>915*0.13</f>
        <v>118.95</v>
      </c>
      <c r="H24" s="28">
        <f>20.43*0.13</f>
        <v>2.6558999999999999</v>
      </c>
      <c r="I24" s="28">
        <f>32.01*0.13</f>
        <v>4.1612999999999998</v>
      </c>
      <c r="J24" s="29">
        <f>136.26*0.13</f>
        <v>17.713799999999999</v>
      </c>
    </row>
    <row r="25" spans="1:11" x14ac:dyDescent="0.25">
      <c r="A25" s="80"/>
      <c r="B25" s="7" t="s">
        <v>62</v>
      </c>
      <c r="C25" s="34" t="s">
        <v>69</v>
      </c>
      <c r="D25" s="35" t="s">
        <v>70</v>
      </c>
      <c r="E25" s="16">
        <v>200</v>
      </c>
      <c r="F25" s="6">
        <v>7.17</v>
      </c>
      <c r="G25" s="6">
        <v>132.80000000000001</v>
      </c>
      <c r="H25" s="26">
        <v>0.66</v>
      </c>
      <c r="I25" s="26">
        <v>0.09</v>
      </c>
      <c r="J25" s="27">
        <v>32.01</v>
      </c>
      <c r="K25"/>
    </row>
    <row r="26" spans="1:11" ht="15.75" thickBot="1" x14ac:dyDescent="0.3">
      <c r="A26" s="81"/>
      <c r="B26" s="9" t="s">
        <v>14</v>
      </c>
      <c r="C26" s="10" t="s">
        <v>32</v>
      </c>
      <c r="D26" s="10" t="s">
        <v>33</v>
      </c>
      <c r="E26" s="17">
        <v>30.5</v>
      </c>
      <c r="F26" s="18">
        <v>1.24</v>
      </c>
      <c r="G26" s="18">
        <f>229.7*0.305</f>
        <v>70.058499999999995</v>
      </c>
      <c r="H26" s="11">
        <f>6.7*0.305</f>
        <v>2.0434999999999999</v>
      </c>
      <c r="I26" s="11">
        <f>1.1*0.305</f>
        <v>0.33550000000000002</v>
      </c>
      <c r="J26" s="12">
        <f>48.3*0.305</f>
        <v>14.731499999999999</v>
      </c>
      <c r="K26"/>
    </row>
    <row r="27" spans="1:11" ht="16.5" thickBot="1" x14ac:dyDescent="0.3">
      <c r="A27" s="73" t="s">
        <v>15</v>
      </c>
      <c r="B27" s="82"/>
      <c r="C27" s="82"/>
      <c r="D27" s="82"/>
      <c r="E27" s="83"/>
      <c r="F27" s="52">
        <f>SUM(F22:F26)</f>
        <v>69.5</v>
      </c>
      <c r="G27" s="52">
        <f>SUM(G22:G26)</f>
        <v>565.67050000000006</v>
      </c>
      <c r="H27" s="52">
        <f>SUM(H22:H26)</f>
        <v>17.456400000000002</v>
      </c>
      <c r="I27" s="52">
        <f>SUM(I22:I26)</f>
        <v>15.5063</v>
      </c>
      <c r="J27" s="53">
        <f>SUM(J22:J26)</f>
        <v>86.168300000000002</v>
      </c>
      <c r="K27"/>
    </row>
    <row r="29" spans="1:11" ht="15.75" thickBot="1" x14ac:dyDescent="0.3">
      <c r="A29" s="61" t="s">
        <v>25</v>
      </c>
      <c r="B29" s="61"/>
      <c r="C29" s="61"/>
      <c r="D29" s="61"/>
      <c r="E29" s="61"/>
      <c r="F29" s="61"/>
      <c r="G29" s="61"/>
      <c r="H29" s="61"/>
      <c r="I29" s="61"/>
      <c r="J29" s="61"/>
    </row>
    <row r="30" spans="1:11" ht="15.75" x14ac:dyDescent="0.25">
      <c r="A30" s="23"/>
      <c r="B30" s="23"/>
      <c r="C30" s="60" t="s">
        <v>23</v>
      </c>
      <c r="D30" s="60"/>
      <c r="G30" s="62"/>
      <c r="H30" s="62"/>
      <c r="I30" s="62"/>
      <c r="J30" s="62"/>
    </row>
    <row r="31" spans="1:11" x14ac:dyDescent="0.25">
      <c r="A31" s="1"/>
      <c r="B31" s="1"/>
      <c r="C31" s="1"/>
      <c r="D31" s="1"/>
    </row>
    <row r="32" spans="1:11" x14ac:dyDescent="0.25">
      <c r="A32" s="70" t="s">
        <v>24</v>
      </c>
      <c r="B32" s="70"/>
    </row>
    <row r="33" spans="1:2" x14ac:dyDescent="0.25">
      <c r="A33" s="70" t="s">
        <v>26</v>
      </c>
      <c r="B33" s="70"/>
    </row>
    <row r="34" spans="1:2" x14ac:dyDescent="0.25">
      <c r="A34" s="43"/>
    </row>
    <row r="38" spans="1:2" customFormat="1" x14ac:dyDescent="0.25"/>
    <row r="39" spans="1:2" customFormat="1" x14ac:dyDescent="0.25"/>
    <row r="40" spans="1:2" customFormat="1" x14ac:dyDescent="0.25"/>
    <row r="41" spans="1:2" customFormat="1" x14ac:dyDescent="0.25"/>
  </sheetData>
  <mergeCells count="17">
    <mergeCell ref="B1:C1"/>
    <mergeCell ref="G1:J1"/>
    <mergeCell ref="A3:A7"/>
    <mergeCell ref="A8:E8"/>
    <mergeCell ref="A16:A20"/>
    <mergeCell ref="A32:B32"/>
    <mergeCell ref="A33:B33"/>
    <mergeCell ref="A9:A11"/>
    <mergeCell ref="A12:E12"/>
    <mergeCell ref="A13:A14"/>
    <mergeCell ref="A15:E15"/>
    <mergeCell ref="A22:A26"/>
    <mergeCell ref="A27:E27"/>
    <mergeCell ref="A29:J29"/>
    <mergeCell ref="C30:D30"/>
    <mergeCell ref="G30:J30"/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31.03 1-4 кл</vt:lpstr>
      <vt:lpstr>31.03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2022-03-30T10:53:11Z</dcterms:modified>
</cp:coreProperties>
</file>