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05.04 1-4 кл" sheetId="1" r:id="rId1"/>
    <sheet name="05.04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8" i="2"/>
  <c r="H28" i="2"/>
  <c r="G28" i="2"/>
  <c r="J25" i="2"/>
  <c r="I25" i="2"/>
  <c r="H25" i="2"/>
  <c r="G25" i="2"/>
  <c r="J24" i="2"/>
  <c r="I24" i="2"/>
  <c r="H24" i="2"/>
  <c r="G24" i="2"/>
  <c r="J23" i="2"/>
  <c r="I23" i="2"/>
  <c r="H23" i="2"/>
  <c r="G23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4" i="2"/>
  <c r="I14" i="2"/>
  <c r="H14" i="2"/>
  <c r="G14" i="2"/>
  <c r="G10" i="2" l="1"/>
  <c r="J12" i="2"/>
  <c r="I12" i="2"/>
  <c r="H12" i="2"/>
  <c r="G12" i="2"/>
  <c r="J10" i="2"/>
  <c r="I10" i="2"/>
  <c r="H10" i="2"/>
  <c r="J8" i="2"/>
  <c r="I8" i="2"/>
  <c r="H8" i="2"/>
  <c r="G8" i="2"/>
  <c r="J5" i="2"/>
  <c r="I5" i="2"/>
  <c r="H5" i="2"/>
  <c r="G5" i="2"/>
  <c r="J3" i="2"/>
  <c r="I3" i="2"/>
  <c r="H3" i="2"/>
  <c r="G3" i="2"/>
  <c r="J26" i="1"/>
  <c r="I26" i="1"/>
  <c r="H26" i="1"/>
  <c r="G26" i="1"/>
  <c r="G23" i="1"/>
  <c r="H23" i="1"/>
  <c r="I23" i="1"/>
  <c r="J23" i="1"/>
  <c r="F23" i="1"/>
  <c r="J22" i="1"/>
  <c r="I22" i="1"/>
  <c r="H22" i="1"/>
  <c r="G22" i="1"/>
  <c r="J18" i="1"/>
  <c r="I18" i="1"/>
  <c r="H18" i="1"/>
  <c r="G18" i="1"/>
  <c r="J14" i="1"/>
  <c r="I14" i="1"/>
  <c r="H14" i="1"/>
  <c r="G14" i="1"/>
  <c r="J11" i="1"/>
  <c r="I11" i="1"/>
  <c r="H11" i="1"/>
  <c r="G11" i="1"/>
  <c r="J16" i="1" l="1"/>
  <c r="I16" i="1"/>
  <c r="H16" i="1"/>
  <c r="G16" i="1"/>
  <c r="J8" i="1" l="1"/>
  <c r="I8" i="1"/>
  <c r="H8" i="1"/>
  <c r="G8" i="1"/>
  <c r="J5" i="1"/>
  <c r="I5" i="1"/>
  <c r="H5" i="1"/>
  <c r="G5" i="1"/>
  <c r="J4" i="1" l="1"/>
  <c r="I4" i="1"/>
  <c r="H4" i="1"/>
  <c r="G4" i="1"/>
  <c r="J3" i="1"/>
  <c r="I3" i="1"/>
  <c r="H3" i="1"/>
  <c r="G3" i="1"/>
  <c r="F29" i="2" l="1"/>
  <c r="J29" i="2"/>
  <c r="I29" i="2"/>
  <c r="H29" i="2"/>
  <c r="G29" i="2"/>
  <c r="J24" i="1" l="1"/>
  <c r="I24" i="1"/>
  <c r="H24" i="1"/>
  <c r="G24" i="1"/>
  <c r="J19" i="1" l="1"/>
  <c r="I19" i="1"/>
  <c r="H19" i="1"/>
  <c r="G19" i="1"/>
  <c r="J17" i="1" l="1"/>
  <c r="I17" i="1"/>
  <c r="H17" i="1"/>
  <c r="G17" i="1"/>
  <c r="J10" i="1"/>
  <c r="I10" i="1"/>
  <c r="H10" i="1"/>
  <c r="G10" i="1"/>
  <c r="J12" i="1" l="1"/>
  <c r="I12" i="1"/>
  <c r="H12" i="1"/>
  <c r="G12" i="1"/>
  <c r="J4" i="2" l="1"/>
  <c r="I4" i="2"/>
  <c r="H4" i="2"/>
  <c r="G4" i="2"/>
  <c r="F16" i="2" l="1"/>
  <c r="J16" i="2"/>
  <c r="I16" i="2"/>
  <c r="H16" i="2"/>
  <c r="G16" i="2"/>
  <c r="F22" i="2" l="1"/>
  <c r="J22" i="2"/>
  <c r="I22" i="2"/>
  <c r="H22" i="2"/>
  <c r="G22" i="2"/>
  <c r="G13" i="2" l="1"/>
  <c r="F13" i="2"/>
  <c r="I13" i="2"/>
  <c r="H13" i="2"/>
  <c r="J13" i="2"/>
  <c r="F9" i="2"/>
  <c r="J9" i="2"/>
  <c r="I9" i="2"/>
  <c r="H9" i="2"/>
  <c r="G9" i="2"/>
  <c r="G9" i="1" l="1"/>
  <c r="H9" i="1"/>
  <c r="I9" i="1"/>
  <c r="J9" i="1"/>
  <c r="F9" i="1"/>
  <c r="G15" i="1" l="1"/>
  <c r="H15" i="1"/>
  <c r="I15" i="1"/>
  <c r="J15" i="1"/>
  <c r="F15" i="1"/>
  <c r="F27" i="1" l="1"/>
  <c r="I27" i="1"/>
  <c r="H27" i="1"/>
  <c r="G27" i="1"/>
  <c r="J27" i="1" l="1"/>
</calcChain>
</file>

<file path=xl/sharedStrings.xml><?xml version="1.0" encoding="utf-8"?>
<sst xmlns="http://schemas.openxmlformats.org/spreadsheetml/2006/main" count="196" uniqueCount="78">
  <si>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</si>
  <si>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</si>
  <si>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</si>
  <si>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</si>
  <si>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</si>
  <si>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</si>
  <si>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</si>
  <si>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</si>
  <si>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</si>
  <si>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</si>
  <si>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</si>
  <si>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</si>
  <si>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</si>
  <si>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</si>
  <si>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</si>
  <si>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</si>
  <si>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</si>
  <si>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</si>
  <si>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</si>
  <si>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</si>
  <si>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</si>
  <si>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</si>
  <si>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</si>
  <si>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</si>
  <si>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</si>
  <si>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</si>
  <si>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</si>
  <si>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</si>
  <si>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</si>
  <si>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</si>
  <si>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</si>
  <si>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</si>
  <si>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</si>
  <si>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</si>
  <si>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</si>
  <si>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</si>
  <si>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Напиток</t>
  </si>
  <si>
    <t>№309-2015г.</t>
  </si>
  <si>
    <t>Макароны отварные</t>
  </si>
  <si>
    <t>Фрукт</t>
  </si>
  <si>
    <t>№304-2015г.</t>
  </si>
  <si>
    <t>Рис отварной</t>
  </si>
  <si>
    <t>Филе цыплёнка запечённое</t>
  </si>
  <si>
    <t>ТТК №18</t>
  </si>
  <si>
    <t>№3-2015г.</t>
  </si>
  <si>
    <t>Бутерброд с сыром</t>
  </si>
  <si>
    <t>№338-2015г</t>
  </si>
  <si>
    <t>Завтрак 5-11 кл с доплатой 62,50 руб. и льготники с доплатой 42,50 руб. 1 смена</t>
  </si>
  <si>
    <t>Завтрак льготники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</si>
  <si>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</si>
  <si>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</si>
  <si>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</si>
  <si>
    <t>№71-2015г.</t>
  </si>
  <si>
    <t>Овощи натуральные свежие (помидоры)</t>
  </si>
  <si>
    <t>ТТК №89</t>
  </si>
  <si>
    <t>Напиток ягодный (из компотной смеси)</t>
  </si>
  <si>
    <t>№82-2015г.</t>
  </si>
  <si>
    <t>Борщ из свежей капусты с картофелем со сметаной и зеленью</t>
  </si>
  <si>
    <t>№686-2004г.</t>
  </si>
  <si>
    <t>Чай с лимоном</t>
  </si>
  <si>
    <t>200/15/7</t>
  </si>
  <si>
    <t>ТТК №6</t>
  </si>
  <si>
    <t>Булочка "Рулетик с маком"</t>
  </si>
  <si>
    <t>10/4/30</t>
  </si>
  <si>
    <t>№379-2015г.</t>
  </si>
  <si>
    <t>Кофейный напиток с молоком</t>
  </si>
  <si>
    <t>№424-2015г.</t>
  </si>
  <si>
    <t>Булочка домашняя</t>
  </si>
  <si>
    <t>Макароны отварные с сыром</t>
  </si>
  <si>
    <t>№204-2015г.</t>
  </si>
  <si>
    <t>Овощи натуральные свежие (огурцы)</t>
  </si>
  <si>
    <t>ТТК №26</t>
  </si>
  <si>
    <t>Котлета "Нежная (из цыплят и свинины)</t>
  </si>
  <si>
    <t>Яблоко свежее (порциями)</t>
  </si>
  <si>
    <t>150/15</t>
  </si>
  <si>
    <t>№2-2015г.</t>
  </si>
  <si>
    <t>Бутерброд с повидлом</t>
  </si>
  <si>
    <t>15/25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</si>
</sst>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0" xfId="0" applyFont="1"/>
    <xf numFmtId="2" fontId="2" fillId="0" borderId="21" xfId="0" applyNumberFormat="1" applyFont="1" applyBorder="1" applyAlignment="1">
      <alignment vertical="center" wrapText="1"/>
    </xf>
    <xf numFmtId="0" fontId="1" fillId="0" borderId="0" xfId="0" applyFont="1"/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/>
    <xf numFmtId="2" fontId="2" fillId="0" borderId="32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7" workbookViewId="0">
      <selection activeCell="B17" sqref="B17:J22"/>
    </sheetView>
  </sheetViews>
  <sheetFormatPr defaultRowHeight="15" x14ac:dyDescent="0.25"/>
  <cols>
    <col min="1" max="1" width="24" style="2" customWidth="1"/>
    <col min="2" max="2" width="22.14062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4" t="s">
        <v>22</v>
      </c>
      <c r="C1" s="55"/>
      <c r="D1" s="1" t="s">
        <v>1</v>
      </c>
      <c r="E1" s="47"/>
      <c r="F1" s="1" t="s">
        <v>2</v>
      </c>
      <c r="G1" s="56">
        <v>44656</v>
      </c>
      <c r="H1" s="57"/>
      <c r="I1" s="57"/>
      <c r="J1" s="58"/>
      <c r="K1" s="1"/>
      <c r="L1" s="1"/>
    </row>
    <row r="2" spans="1:12" ht="15.75" thickBot="1" x14ac:dyDescent="0.3">
      <c r="A2" s="46" t="s">
        <v>3</v>
      </c>
      <c r="B2" s="5" t="s">
        <v>4</v>
      </c>
      <c r="C2" s="43" t="s">
        <v>5</v>
      </c>
      <c r="D2" s="46" t="s">
        <v>6</v>
      </c>
      <c r="E2" s="46" t="s">
        <v>7</v>
      </c>
      <c r="F2" s="46" t="s">
        <v>8</v>
      </c>
      <c r="G2" s="48" t="s">
        <v>9</v>
      </c>
      <c r="H2" s="5" t="s">
        <v>10</v>
      </c>
      <c r="I2" s="5" t="s">
        <v>11</v>
      </c>
      <c r="J2" s="49" t="s">
        <v>12</v>
      </c>
    </row>
    <row r="3" spans="1:12" s="30" customFormat="1" x14ac:dyDescent="0.25">
      <c r="A3" s="71" t="s">
        <v>27</v>
      </c>
      <c r="B3" s="52" t="s">
        <v>31</v>
      </c>
      <c r="C3" s="14" t="s">
        <v>52</v>
      </c>
      <c r="D3" s="14" t="s">
        <v>53</v>
      </c>
      <c r="E3" s="15">
        <v>20</v>
      </c>
      <c r="F3" s="15">
        <v>6.92</v>
      </c>
      <c r="G3" s="16">
        <f>11/50*20</f>
        <v>4.4000000000000004</v>
      </c>
      <c r="H3" s="16">
        <f>0.55/50*20</f>
        <v>0.22000000000000003</v>
      </c>
      <c r="I3" s="16">
        <f>0.1/50*20</f>
        <v>0.04</v>
      </c>
      <c r="J3" s="17">
        <f>1.9/50*20</f>
        <v>0.76</v>
      </c>
    </row>
    <row r="4" spans="1:12" s="27" customFormat="1" x14ac:dyDescent="0.25">
      <c r="A4" s="71"/>
      <c r="B4" s="8" t="s">
        <v>13</v>
      </c>
      <c r="C4" s="33" t="s">
        <v>43</v>
      </c>
      <c r="D4" s="34" t="s">
        <v>42</v>
      </c>
      <c r="E4" s="18">
        <v>50</v>
      </c>
      <c r="F4" s="7">
        <v>41.02</v>
      </c>
      <c r="G4" s="35">
        <f>129.15*1</f>
        <v>129.15</v>
      </c>
      <c r="H4" s="35">
        <f>17.2*1</f>
        <v>17.2</v>
      </c>
      <c r="I4" s="35">
        <f>3.8*1</f>
        <v>3.8</v>
      </c>
      <c r="J4" s="37">
        <f>6.6*1</f>
        <v>6.6</v>
      </c>
    </row>
    <row r="5" spans="1:12" x14ac:dyDescent="0.25">
      <c r="A5" s="71"/>
      <c r="B5" s="8" t="s">
        <v>17</v>
      </c>
      <c r="C5" s="6" t="s">
        <v>37</v>
      </c>
      <c r="D5" s="6" t="s">
        <v>38</v>
      </c>
      <c r="E5" s="18">
        <v>150</v>
      </c>
      <c r="F5" s="7">
        <v>9.8800000000000008</v>
      </c>
      <c r="G5" s="7">
        <f>1123*0.15</f>
        <v>168.45</v>
      </c>
      <c r="H5" s="7">
        <f>36.78*0.15</f>
        <v>5.5170000000000003</v>
      </c>
      <c r="I5" s="7">
        <f>30.1*0.15</f>
        <v>4.5149999999999997</v>
      </c>
      <c r="J5" s="9">
        <f>176.3*0.15</f>
        <v>26.445</v>
      </c>
    </row>
    <row r="6" spans="1:12" s="41" customFormat="1" x14ac:dyDescent="0.25">
      <c r="A6" s="71"/>
      <c r="B6" s="8" t="s">
        <v>36</v>
      </c>
      <c r="C6" s="6" t="s">
        <v>54</v>
      </c>
      <c r="D6" s="6" t="s">
        <v>55</v>
      </c>
      <c r="E6" s="18">
        <v>200</v>
      </c>
      <c r="F6" s="7">
        <v>11.21</v>
      </c>
      <c r="G6" s="7">
        <v>111</v>
      </c>
      <c r="H6" s="7">
        <v>0.7</v>
      </c>
      <c r="I6" s="7">
        <v>0</v>
      </c>
      <c r="J6" s="9">
        <v>27</v>
      </c>
      <c r="K6"/>
    </row>
    <row r="7" spans="1:12" x14ac:dyDescent="0.25">
      <c r="A7" s="71"/>
      <c r="B7" s="8" t="s">
        <v>21</v>
      </c>
      <c r="C7" s="33" t="s">
        <v>66</v>
      </c>
      <c r="D7" s="6" t="s">
        <v>67</v>
      </c>
      <c r="E7" s="18">
        <v>50</v>
      </c>
      <c r="F7" s="7">
        <v>5.14</v>
      </c>
      <c r="G7" s="36">
        <v>159</v>
      </c>
      <c r="H7" s="36">
        <v>3.64</v>
      </c>
      <c r="I7" s="36">
        <v>6.26</v>
      </c>
      <c r="J7" s="38">
        <v>21.96</v>
      </c>
    </row>
    <row r="8" spans="1:12" s="27" customFormat="1" ht="15.75" thickBot="1" x14ac:dyDescent="0.3">
      <c r="A8" s="71"/>
      <c r="B8" s="10" t="s">
        <v>14</v>
      </c>
      <c r="C8" s="11" t="s">
        <v>32</v>
      </c>
      <c r="D8" s="11" t="s">
        <v>33</v>
      </c>
      <c r="E8" s="19">
        <v>13.5</v>
      </c>
      <c r="F8" s="20">
        <v>0.56000000000000005</v>
      </c>
      <c r="G8" s="20">
        <f>229.7*0.135</f>
        <v>31.009499999999999</v>
      </c>
      <c r="H8" s="12">
        <f>6.7*0.135</f>
        <v>0.90450000000000008</v>
      </c>
      <c r="I8" s="12">
        <f>1.1*0.135</f>
        <v>0.14850000000000002</v>
      </c>
      <c r="J8" s="13">
        <f>48.3*0.135</f>
        <v>6.5205000000000002</v>
      </c>
    </row>
    <row r="9" spans="1:12" ht="16.5" thickBot="1" x14ac:dyDescent="0.3">
      <c r="A9" s="62" t="s">
        <v>15</v>
      </c>
      <c r="B9" s="63"/>
      <c r="C9" s="63"/>
      <c r="D9" s="63"/>
      <c r="E9" s="64"/>
      <c r="F9" s="21">
        <f>SUM(F3:F8)</f>
        <v>74.73</v>
      </c>
      <c r="G9" s="21">
        <f t="shared" ref="G9:J9" si="0">SUM(G3:G8)</f>
        <v>603.0095</v>
      </c>
      <c r="H9" s="21">
        <f t="shared" si="0"/>
        <v>28.181499999999996</v>
      </c>
      <c r="I9" s="21">
        <f t="shared" si="0"/>
        <v>14.763500000000001</v>
      </c>
      <c r="J9" s="21">
        <f t="shared" si="0"/>
        <v>89.285499999999999</v>
      </c>
    </row>
    <row r="10" spans="1:12" ht="30" x14ac:dyDescent="0.25">
      <c r="A10" s="65" t="s">
        <v>28</v>
      </c>
      <c r="B10" s="22" t="s">
        <v>16</v>
      </c>
      <c r="C10" s="23" t="s">
        <v>56</v>
      </c>
      <c r="D10" s="23" t="s">
        <v>57</v>
      </c>
      <c r="E10" s="15" t="s">
        <v>35</v>
      </c>
      <c r="F10" s="16">
        <v>16.579999999999998</v>
      </c>
      <c r="G10" s="16">
        <f>415*0.25+162*0.1</f>
        <v>119.95</v>
      </c>
      <c r="H10" s="16">
        <f>7.21*0.25+2.6*0.1</f>
        <v>2.0625</v>
      </c>
      <c r="I10" s="16">
        <f>19.68*0.25+15*0.1</f>
        <v>6.42</v>
      </c>
      <c r="J10" s="17">
        <f>43.73*0.25+3.6*0.1</f>
        <v>11.292499999999999</v>
      </c>
      <c r="K10"/>
    </row>
    <row r="11" spans="1:12" x14ac:dyDescent="0.25">
      <c r="A11" s="66"/>
      <c r="B11" s="8" t="s">
        <v>13</v>
      </c>
      <c r="C11" s="6" t="s">
        <v>71</v>
      </c>
      <c r="D11" s="6" t="s">
        <v>72</v>
      </c>
      <c r="E11" s="18">
        <v>32</v>
      </c>
      <c r="F11" s="7">
        <v>15.73</v>
      </c>
      <c r="G11" s="28">
        <f>202.28/65*32</f>
        <v>99.584000000000003</v>
      </c>
      <c r="H11" s="28">
        <f>9.1/65*32</f>
        <v>4.4799999999999995</v>
      </c>
      <c r="I11" s="28">
        <f>14.43/65*32</f>
        <v>7.1040000000000001</v>
      </c>
      <c r="J11" s="29">
        <f>9.1/65*32</f>
        <v>4.4799999999999995</v>
      </c>
      <c r="K11"/>
    </row>
    <row r="12" spans="1:12" s="27" customFormat="1" x14ac:dyDescent="0.25">
      <c r="A12" s="66"/>
      <c r="B12" s="8" t="s">
        <v>17</v>
      </c>
      <c r="C12" s="6" t="s">
        <v>40</v>
      </c>
      <c r="D12" s="6" t="s">
        <v>41</v>
      </c>
      <c r="E12" s="18">
        <v>100</v>
      </c>
      <c r="F12" s="7">
        <v>7.71</v>
      </c>
      <c r="G12" s="7">
        <f>1398*0.1</f>
        <v>139.80000000000001</v>
      </c>
      <c r="H12" s="7">
        <f>24.34*0.1</f>
        <v>2.4340000000000002</v>
      </c>
      <c r="I12" s="7">
        <f>35.83*0.1</f>
        <v>3.5830000000000002</v>
      </c>
      <c r="J12" s="9">
        <f>244.56*0.1</f>
        <v>24.456000000000003</v>
      </c>
    </row>
    <row r="13" spans="1:12" x14ac:dyDescent="0.25">
      <c r="A13" s="66"/>
      <c r="B13" s="8" t="s">
        <v>18</v>
      </c>
      <c r="C13" s="6" t="s">
        <v>19</v>
      </c>
      <c r="D13" s="6" t="s">
        <v>20</v>
      </c>
      <c r="E13" s="18" t="s">
        <v>34</v>
      </c>
      <c r="F13" s="7">
        <v>3.65</v>
      </c>
      <c r="G13" s="7">
        <v>60</v>
      </c>
      <c r="H13" s="7">
        <v>7.0000000000000007E-2</v>
      </c>
      <c r="I13" s="7">
        <v>0.02</v>
      </c>
      <c r="J13" s="9">
        <v>15</v>
      </c>
      <c r="K13"/>
    </row>
    <row r="14" spans="1:12" ht="15.75" thickBot="1" x14ac:dyDescent="0.3">
      <c r="A14" s="66"/>
      <c r="B14" s="10" t="s">
        <v>14</v>
      </c>
      <c r="C14" s="11" t="s">
        <v>32</v>
      </c>
      <c r="D14" s="11" t="s">
        <v>33</v>
      </c>
      <c r="E14" s="19">
        <v>21</v>
      </c>
      <c r="F14" s="20">
        <v>0.86</v>
      </c>
      <c r="G14" s="20">
        <f>229.7*0.21</f>
        <v>48.236999999999995</v>
      </c>
      <c r="H14" s="12">
        <f>6.7*0.21</f>
        <v>1.407</v>
      </c>
      <c r="I14" s="12">
        <f>1.1*0.21</f>
        <v>0.23100000000000001</v>
      </c>
      <c r="J14" s="13">
        <f>48.3*0.21</f>
        <v>10.142999999999999</v>
      </c>
    </row>
    <row r="15" spans="1:12" ht="16.5" thickBot="1" x14ac:dyDescent="0.3">
      <c r="A15" s="67" t="s">
        <v>15</v>
      </c>
      <c r="B15" s="68"/>
      <c r="C15" s="68"/>
      <c r="D15" s="68"/>
      <c r="E15" s="69"/>
      <c r="F15" s="31">
        <f>SUM(F10:F14)</f>
        <v>44.53</v>
      </c>
      <c r="G15" s="31">
        <f t="shared" ref="G15:J15" si="1">SUM(G10:G14)</f>
        <v>467.57100000000003</v>
      </c>
      <c r="H15" s="31">
        <f t="shared" si="1"/>
        <v>10.4535</v>
      </c>
      <c r="I15" s="31">
        <f t="shared" si="1"/>
        <v>17.358000000000001</v>
      </c>
      <c r="J15" s="31">
        <f t="shared" si="1"/>
        <v>65.371499999999997</v>
      </c>
    </row>
    <row r="16" spans="1:12" s="27" customFormat="1" x14ac:dyDescent="0.25">
      <c r="A16" s="75" t="s">
        <v>29</v>
      </c>
      <c r="B16" s="52" t="s">
        <v>31</v>
      </c>
      <c r="C16" s="14" t="s">
        <v>52</v>
      </c>
      <c r="D16" s="14" t="s">
        <v>70</v>
      </c>
      <c r="E16" s="15">
        <v>15</v>
      </c>
      <c r="F16" s="15">
        <v>3.86</v>
      </c>
      <c r="G16" s="16">
        <f>6/50*15</f>
        <v>1.7999999999999998</v>
      </c>
      <c r="H16" s="16">
        <f>0.35/50*15</f>
        <v>0.10499999999999998</v>
      </c>
      <c r="I16" s="16">
        <f>0.05/50*15</f>
        <v>1.4999999999999999E-2</v>
      </c>
      <c r="J16" s="17">
        <f>0.95/50*15</f>
        <v>0.28499999999999998</v>
      </c>
    </row>
    <row r="17" spans="1:11" s="32" customFormat="1" ht="30" x14ac:dyDescent="0.25">
      <c r="A17" s="71"/>
      <c r="B17" s="8" t="s">
        <v>16</v>
      </c>
      <c r="C17" s="6" t="s">
        <v>56</v>
      </c>
      <c r="D17" s="6" t="s">
        <v>57</v>
      </c>
      <c r="E17" s="18" t="s">
        <v>35</v>
      </c>
      <c r="F17" s="7">
        <v>16.579999999999998</v>
      </c>
      <c r="G17" s="7">
        <f>415*0.25+162*0.1</f>
        <v>119.95</v>
      </c>
      <c r="H17" s="7">
        <f>7.21*0.25+2.6*0.1</f>
        <v>2.0625</v>
      </c>
      <c r="I17" s="7">
        <f>19.68*0.25+15*0.1</f>
        <v>6.42</v>
      </c>
      <c r="J17" s="9">
        <f>43.73*0.25+3.6*0.1</f>
        <v>11.292499999999999</v>
      </c>
      <c r="K17"/>
    </row>
    <row r="18" spans="1:11" s="27" customFormat="1" x14ac:dyDescent="0.25">
      <c r="A18" s="71"/>
      <c r="B18" s="8" t="s">
        <v>13</v>
      </c>
      <c r="C18" s="6" t="s">
        <v>71</v>
      </c>
      <c r="D18" s="6" t="s">
        <v>72</v>
      </c>
      <c r="E18" s="18">
        <v>60</v>
      </c>
      <c r="F18" s="7">
        <v>29.5</v>
      </c>
      <c r="G18" s="28">
        <f>202.28/65*60</f>
        <v>186.72</v>
      </c>
      <c r="H18" s="28">
        <f>9.1/65*60</f>
        <v>8.3999999999999986</v>
      </c>
      <c r="I18" s="28">
        <f>14.43/65*60</f>
        <v>13.32</v>
      </c>
      <c r="J18" s="29">
        <f>9.1/65*60</f>
        <v>8.3999999999999986</v>
      </c>
      <c r="K18"/>
    </row>
    <row r="19" spans="1:11" s="44" customFormat="1" x14ac:dyDescent="0.25">
      <c r="A19" s="71"/>
      <c r="B19" s="8" t="s">
        <v>17</v>
      </c>
      <c r="C19" s="6" t="s">
        <v>40</v>
      </c>
      <c r="D19" s="6" t="s">
        <v>41</v>
      </c>
      <c r="E19" s="18">
        <v>150</v>
      </c>
      <c r="F19" s="7">
        <v>11.56</v>
      </c>
      <c r="G19" s="7">
        <f>1398*0.15</f>
        <v>209.7</v>
      </c>
      <c r="H19" s="7">
        <f>24.34*0.15</f>
        <v>3.6509999999999998</v>
      </c>
      <c r="I19" s="7">
        <f>35.83*0.15</f>
        <v>5.3744999999999994</v>
      </c>
      <c r="J19" s="9">
        <f>244.56*0.15</f>
        <v>36.683999999999997</v>
      </c>
    </row>
    <row r="20" spans="1:11" s="30" customFormat="1" x14ac:dyDescent="0.25">
      <c r="A20" s="71"/>
      <c r="B20" s="8" t="s">
        <v>18</v>
      </c>
      <c r="C20" s="6" t="s">
        <v>58</v>
      </c>
      <c r="D20" s="6" t="s">
        <v>59</v>
      </c>
      <c r="E20" s="18" t="s">
        <v>60</v>
      </c>
      <c r="F20" s="7">
        <v>5.25</v>
      </c>
      <c r="G20" s="7">
        <v>62</v>
      </c>
      <c r="H20" s="28">
        <v>0.13</v>
      </c>
      <c r="I20" s="28">
        <v>0.02</v>
      </c>
      <c r="J20" s="29">
        <v>15.2</v>
      </c>
      <c r="K20"/>
    </row>
    <row r="21" spans="1:11" s="53" customFormat="1" x14ac:dyDescent="0.25">
      <c r="A21" s="71"/>
      <c r="B21" s="8" t="s">
        <v>21</v>
      </c>
      <c r="C21" s="33" t="s">
        <v>61</v>
      </c>
      <c r="D21" s="6" t="s">
        <v>62</v>
      </c>
      <c r="E21" s="18">
        <v>50</v>
      </c>
      <c r="F21" s="7">
        <v>7.74</v>
      </c>
      <c r="G21" s="36">
        <v>198.6</v>
      </c>
      <c r="H21" s="36">
        <v>4.0999999999999996</v>
      </c>
      <c r="I21" s="36">
        <v>7.7</v>
      </c>
      <c r="J21" s="38">
        <v>28.2</v>
      </c>
    </row>
    <row r="22" spans="1:11" s="44" customFormat="1" ht="15.75" thickBot="1" x14ac:dyDescent="0.3">
      <c r="A22" s="76"/>
      <c r="B22" s="10" t="s">
        <v>14</v>
      </c>
      <c r="C22" s="11" t="s">
        <v>32</v>
      </c>
      <c r="D22" s="11" t="s">
        <v>33</v>
      </c>
      <c r="E22" s="19">
        <v>6</v>
      </c>
      <c r="F22" s="20">
        <v>0.24</v>
      </c>
      <c r="G22" s="20">
        <f>229.7*0.06</f>
        <v>13.781999999999998</v>
      </c>
      <c r="H22" s="12">
        <f>6.7*0.06</f>
        <v>0.40199999999999997</v>
      </c>
      <c r="I22" s="12">
        <f>1.1*0.06</f>
        <v>6.6000000000000003E-2</v>
      </c>
      <c r="J22" s="13">
        <f>48.3*0.06</f>
        <v>2.8979999999999997</v>
      </c>
    </row>
    <row r="23" spans="1:11" ht="16.5" thickBot="1" x14ac:dyDescent="0.3">
      <c r="A23" s="62" t="s">
        <v>15</v>
      </c>
      <c r="B23" s="63"/>
      <c r="C23" s="63"/>
      <c r="D23" s="63"/>
      <c r="E23" s="64"/>
      <c r="F23" s="21">
        <f>SUM(F16:F22)</f>
        <v>74.72999999999999</v>
      </c>
      <c r="G23" s="21">
        <f t="shared" ref="G23:J23" si="2">SUM(G16:G22)</f>
        <v>792.55200000000013</v>
      </c>
      <c r="H23" s="21">
        <f t="shared" si="2"/>
        <v>18.8505</v>
      </c>
      <c r="I23" s="21">
        <f t="shared" si="2"/>
        <v>32.915500000000002</v>
      </c>
      <c r="J23" s="21">
        <f t="shared" si="2"/>
        <v>102.95949999999999</v>
      </c>
      <c r="K23"/>
    </row>
    <row r="24" spans="1:11" s="30" customFormat="1" x14ac:dyDescent="0.25">
      <c r="A24" s="65" t="s">
        <v>30</v>
      </c>
      <c r="B24" s="22" t="s">
        <v>31</v>
      </c>
      <c r="C24" s="23" t="s">
        <v>44</v>
      </c>
      <c r="D24" s="23" t="s">
        <v>45</v>
      </c>
      <c r="E24" s="39" t="s">
        <v>63</v>
      </c>
      <c r="F24" s="40">
        <v>16.420000000000002</v>
      </c>
      <c r="G24" s="25">
        <f>364*0.1+660*0.04+280*0.3</f>
        <v>146.80000000000001</v>
      </c>
      <c r="H24" s="25">
        <f>23.2*0.1+0.8*0.04+8*0.3</f>
        <v>4.7519999999999998</v>
      </c>
      <c r="I24" s="25">
        <f>29.5*0.1+72.5*0.04+3*0.3</f>
        <v>6.75</v>
      </c>
      <c r="J24" s="26">
        <f>0+1.3*0.04+54*0.3</f>
        <v>16.251999999999999</v>
      </c>
    </row>
    <row r="25" spans="1:11" s="41" customFormat="1" x14ac:dyDescent="0.25">
      <c r="A25" s="66"/>
      <c r="B25" s="8" t="s">
        <v>18</v>
      </c>
      <c r="C25" s="6" t="s">
        <v>64</v>
      </c>
      <c r="D25" s="6" t="s">
        <v>65</v>
      </c>
      <c r="E25" s="18">
        <v>200</v>
      </c>
      <c r="F25" s="7">
        <v>8.5399999999999991</v>
      </c>
      <c r="G25" s="7">
        <v>100.6</v>
      </c>
      <c r="H25" s="7">
        <v>3.17</v>
      </c>
      <c r="I25" s="7">
        <v>2.68</v>
      </c>
      <c r="J25" s="9">
        <v>15.95</v>
      </c>
      <c r="K25"/>
    </row>
    <row r="26" spans="1:11" s="30" customFormat="1" ht="15.75" thickBot="1" x14ac:dyDescent="0.3">
      <c r="A26" s="72"/>
      <c r="B26" s="10" t="s">
        <v>39</v>
      </c>
      <c r="C26" s="11" t="s">
        <v>46</v>
      </c>
      <c r="D26" s="11" t="s">
        <v>73</v>
      </c>
      <c r="E26" s="11">
        <v>95</v>
      </c>
      <c r="F26" s="12">
        <v>19.57</v>
      </c>
      <c r="G26" s="12">
        <f>47*0.95</f>
        <v>44.65</v>
      </c>
      <c r="H26" s="12">
        <f>0.4*0.95</f>
        <v>0.38</v>
      </c>
      <c r="I26" s="12">
        <f>0.4*0.95</f>
        <v>0.38</v>
      </c>
      <c r="J26" s="13">
        <f>9.8*0.95</f>
        <v>9.31</v>
      </c>
    </row>
    <row r="27" spans="1:11" ht="16.5" thickBot="1" x14ac:dyDescent="0.3">
      <c r="A27" s="62" t="s">
        <v>15</v>
      </c>
      <c r="B27" s="73"/>
      <c r="C27" s="73"/>
      <c r="D27" s="73"/>
      <c r="E27" s="74"/>
      <c r="F27" s="3">
        <f>SUM(F24:F26)</f>
        <v>44.53</v>
      </c>
      <c r="G27" s="3">
        <f t="shared" ref="G27:J27" si="3">SUM(G24:G26)</f>
        <v>292.05</v>
      </c>
      <c r="H27" s="3">
        <f t="shared" si="3"/>
        <v>8.3019999999999996</v>
      </c>
      <c r="I27" s="3">
        <f t="shared" si="3"/>
        <v>9.81</v>
      </c>
      <c r="J27" s="3">
        <f t="shared" si="3"/>
        <v>41.512</v>
      </c>
      <c r="K27"/>
    </row>
    <row r="29" spans="1:11" ht="15.75" thickBot="1" x14ac:dyDescent="0.3">
      <c r="A29" s="60" t="s">
        <v>25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1" ht="15.75" x14ac:dyDescent="0.25">
      <c r="A30" s="24"/>
      <c r="B30" s="24"/>
      <c r="C30" s="59" t="s">
        <v>23</v>
      </c>
      <c r="D30" s="59"/>
      <c r="G30" s="61"/>
      <c r="H30" s="61"/>
      <c r="I30" s="61"/>
      <c r="J30" s="61"/>
    </row>
    <row r="31" spans="1:11" x14ac:dyDescent="0.25">
      <c r="A31" s="1"/>
      <c r="B31" s="1"/>
      <c r="C31" s="1"/>
      <c r="D31" s="1"/>
    </row>
    <row r="32" spans="1:11" x14ac:dyDescent="0.25">
      <c r="A32" s="70" t="s">
        <v>24</v>
      </c>
      <c r="B32" s="70"/>
    </row>
    <row r="33" spans="1:2" x14ac:dyDescent="0.25">
      <c r="A33" s="70" t="s">
        <v>26</v>
      </c>
      <c r="B33" s="70"/>
    </row>
    <row r="34" spans="1:2" x14ac:dyDescent="0.25">
      <c r="A34" s="4"/>
    </row>
  </sheetData>
  <mergeCells count="15">
    <mergeCell ref="A32:B32"/>
    <mergeCell ref="A33:B33"/>
    <mergeCell ref="A3:A8"/>
    <mergeCell ref="A24:A26"/>
    <mergeCell ref="A27:E27"/>
    <mergeCell ref="A16:A22"/>
    <mergeCell ref="B1:C1"/>
    <mergeCell ref="G1:J1"/>
    <mergeCell ref="C30:D30"/>
    <mergeCell ref="A29:J29"/>
    <mergeCell ref="G30:J30"/>
    <mergeCell ref="A9:E9"/>
    <mergeCell ref="A10:A14"/>
    <mergeCell ref="A15:E15"/>
    <mergeCell ref="A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3" workbookViewId="0">
      <selection activeCell="J29" sqref="J29"/>
    </sheetView>
  </sheetViews>
  <sheetFormatPr defaultRowHeight="15" x14ac:dyDescent="0.25"/>
  <cols>
    <col min="1" max="1" width="24" style="44" customWidth="1"/>
    <col min="2" max="2" width="22.7109375" style="44" customWidth="1"/>
    <col min="3" max="3" width="12.28515625" style="44" customWidth="1"/>
    <col min="4" max="4" width="46.28515625" style="44" customWidth="1"/>
    <col min="5" max="5" width="10.140625" style="44" bestFit="1" customWidth="1"/>
    <col min="6" max="6" width="9.140625" style="44"/>
    <col min="7" max="7" width="18.140625" style="44" customWidth="1"/>
    <col min="8" max="8" width="11.42578125" style="44" bestFit="1" customWidth="1"/>
    <col min="9" max="9" width="9.140625" style="44"/>
    <col min="10" max="10" width="10.85546875" style="44" customWidth="1"/>
    <col min="11" max="16384" width="9.140625" style="44"/>
  </cols>
  <sheetData>
    <row r="1" spans="1:12" ht="15.75" thickBot="1" x14ac:dyDescent="0.3">
      <c r="A1" s="1" t="s">
        <v>0</v>
      </c>
      <c r="B1" s="54" t="s">
        <v>22</v>
      </c>
      <c r="C1" s="55"/>
      <c r="D1" s="1" t="s">
        <v>1</v>
      </c>
      <c r="E1" s="47"/>
      <c r="F1" s="1" t="s">
        <v>2</v>
      </c>
      <c r="G1" s="56">
        <v>44656</v>
      </c>
      <c r="H1" s="57"/>
      <c r="I1" s="57"/>
      <c r="J1" s="58"/>
      <c r="K1" s="1"/>
      <c r="L1" s="1"/>
    </row>
    <row r="2" spans="1:12" ht="15.75" thickBot="1" x14ac:dyDescent="0.3">
      <c r="A2" s="46" t="s">
        <v>3</v>
      </c>
      <c r="B2" s="5" t="s">
        <v>4</v>
      </c>
      <c r="C2" s="43" t="s">
        <v>5</v>
      </c>
      <c r="D2" s="46" t="s">
        <v>6</v>
      </c>
      <c r="E2" s="46" t="s">
        <v>7</v>
      </c>
      <c r="F2" s="46" t="s">
        <v>8</v>
      </c>
      <c r="G2" s="48" t="s">
        <v>9</v>
      </c>
      <c r="H2" s="5" t="s">
        <v>10</v>
      </c>
      <c r="I2" s="5" t="s">
        <v>11</v>
      </c>
      <c r="J2" s="49" t="s">
        <v>12</v>
      </c>
    </row>
    <row r="3" spans="1:12" x14ac:dyDescent="0.25">
      <c r="A3" s="81" t="s">
        <v>47</v>
      </c>
      <c r="B3" s="52" t="s">
        <v>31</v>
      </c>
      <c r="C3" s="14" t="s">
        <v>52</v>
      </c>
      <c r="D3" s="14" t="s">
        <v>70</v>
      </c>
      <c r="E3" s="15">
        <v>15</v>
      </c>
      <c r="F3" s="15">
        <v>3.86</v>
      </c>
      <c r="G3" s="16">
        <f>6/50*15</f>
        <v>1.7999999999999998</v>
      </c>
      <c r="H3" s="16">
        <f>0.35/50*15</f>
        <v>0.10499999999999998</v>
      </c>
      <c r="I3" s="16">
        <f>0.05/50*15</f>
        <v>1.4999999999999999E-2</v>
      </c>
      <c r="J3" s="17">
        <f>0.95/50*15</f>
        <v>0.28499999999999998</v>
      </c>
    </row>
    <row r="4" spans="1:12" x14ac:dyDescent="0.25">
      <c r="A4" s="82"/>
      <c r="B4" s="8" t="s">
        <v>13</v>
      </c>
      <c r="C4" s="33" t="s">
        <v>43</v>
      </c>
      <c r="D4" s="34" t="s">
        <v>42</v>
      </c>
      <c r="E4" s="18">
        <v>50</v>
      </c>
      <c r="F4" s="7">
        <v>41.02</v>
      </c>
      <c r="G4" s="35">
        <f>129.15*1</f>
        <v>129.15</v>
      </c>
      <c r="H4" s="35">
        <f>17.2*1</f>
        <v>17.2</v>
      </c>
      <c r="I4" s="35">
        <f>3.8*1</f>
        <v>3.8</v>
      </c>
      <c r="J4" s="37">
        <f>6.6*1</f>
        <v>6.6</v>
      </c>
    </row>
    <row r="5" spans="1:12" x14ac:dyDescent="0.25">
      <c r="A5" s="82"/>
      <c r="B5" s="8" t="s">
        <v>17</v>
      </c>
      <c r="C5" s="6" t="s">
        <v>37</v>
      </c>
      <c r="D5" s="6" t="s">
        <v>38</v>
      </c>
      <c r="E5" s="18">
        <v>120</v>
      </c>
      <c r="F5" s="7">
        <v>7.91</v>
      </c>
      <c r="G5" s="7">
        <f>1123*0.12</f>
        <v>134.76</v>
      </c>
      <c r="H5" s="7">
        <f>36.78*0.12</f>
        <v>4.4135999999999997</v>
      </c>
      <c r="I5" s="7">
        <f>30.1*0.12</f>
        <v>3.6120000000000001</v>
      </c>
      <c r="J5" s="9">
        <f>176.3*0.12</f>
        <v>21.155999999999999</v>
      </c>
    </row>
    <row r="6" spans="1:12" x14ac:dyDescent="0.25">
      <c r="A6" s="82"/>
      <c r="B6" s="8" t="s">
        <v>36</v>
      </c>
      <c r="C6" s="6" t="s">
        <v>54</v>
      </c>
      <c r="D6" s="6" t="s">
        <v>55</v>
      </c>
      <c r="E6" s="18">
        <v>200</v>
      </c>
      <c r="F6" s="7">
        <v>11.21</v>
      </c>
      <c r="G6" s="7">
        <v>111</v>
      </c>
      <c r="H6" s="7">
        <v>0.7</v>
      </c>
      <c r="I6" s="7">
        <v>0</v>
      </c>
      <c r="J6" s="9">
        <v>27</v>
      </c>
      <c r="K6"/>
    </row>
    <row r="7" spans="1:12" s="53" customFormat="1" x14ac:dyDescent="0.25">
      <c r="A7" s="82"/>
      <c r="B7" s="8" t="s">
        <v>21</v>
      </c>
      <c r="C7" s="33" t="s">
        <v>66</v>
      </c>
      <c r="D7" s="6" t="s">
        <v>67</v>
      </c>
      <c r="E7" s="18">
        <v>50</v>
      </c>
      <c r="F7" s="7">
        <v>5.14</v>
      </c>
      <c r="G7" s="36">
        <v>159</v>
      </c>
      <c r="H7" s="36">
        <v>3.64</v>
      </c>
      <c r="I7" s="36">
        <v>6.26</v>
      </c>
      <c r="J7" s="38">
        <v>21.96</v>
      </c>
      <c r="K7"/>
    </row>
    <row r="8" spans="1:12" ht="15.75" thickBot="1" x14ac:dyDescent="0.3">
      <c r="A8" s="83"/>
      <c r="B8" s="10" t="s">
        <v>14</v>
      </c>
      <c r="C8" s="11" t="s">
        <v>32</v>
      </c>
      <c r="D8" s="11" t="s">
        <v>33</v>
      </c>
      <c r="E8" s="19">
        <v>9</v>
      </c>
      <c r="F8" s="20">
        <v>0.36</v>
      </c>
      <c r="G8" s="20">
        <f>229.7*0.09</f>
        <v>20.672999999999998</v>
      </c>
      <c r="H8" s="12">
        <f>6.7*0.09</f>
        <v>0.60299999999999998</v>
      </c>
      <c r="I8" s="12">
        <f>1.1*0.09</f>
        <v>9.9000000000000005E-2</v>
      </c>
      <c r="J8" s="13">
        <f>48.3*0.09</f>
        <v>4.3469999999999995</v>
      </c>
    </row>
    <row r="9" spans="1:12" ht="16.5" thickBot="1" x14ac:dyDescent="0.3">
      <c r="A9" s="62" t="s">
        <v>15</v>
      </c>
      <c r="B9" s="63"/>
      <c r="C9" s="63"/>
      <c r="D9" s="63"/>
      <c r="E9" s="64"/>
      <c r="F9" s="21">
        <f>SUM(F3:F8)</f>
        <v>69.5</v>
      </c>
      <c r="G9" s="21">
        <f t="shared" ref="G9:J9" si="0">SUM(G3:G8)</f>
        <v>556.38300000000004</v>
      </c>
      <c r="H9" s="21">
        <f t="shared" si="0"/>
        <v>26.6616</v>
      </c>
      <c r="I9" s="21">
        <f t="shared" si="0"/>
        <v>13.786</v>
      </c>
      <c r="J9" s="21">
        <f t="shared" si="0"/>
        <v>81.347999999999999</v>
      </c>
    </row>
    <row r="10" spans="1:12" s="45" customFormat="1" x14ac:dyDescent="0.25">
      <c r="A10" s="65" t="s">
        <v>48</v>
      </c>
      <c r="B10" s="22" t="s">
        <v>13</v>
      </c>
      <c r="C10" s="23" t="s">
        <v>69</v>
      </c>
      <c r="D10" s="23" t="s">
        <v>68</v>
      </c>
      <c r="E10" s="15" t="s">
        <v>74</v>
      </c>
      <c r="F10" s="16">
        <v>22.9</v>
      </c>
      <c r="G10" s="16">
        <f>1123*0.15+360*0.15</f>
        <v>222.45</v>
      </c>
      <c r="H10" s="16">
        <f>36.78*0.15+23.2*0.15</f>
        <v>8.9969999999999999</v>
      </c>
      <c r="I10" s="16">
        <f>30.1*0.15+29.5*0.15</f>
        <v>8.94</v>
      </c>
      <c r="J10" s="17">
        <f>176.3*0.15</f>
        <v>26.445</v>
      </c>
    </row>
    <row r="11" spans="1:12" x14ac:dyDescent="0.25">
      <c r="A11" s="66"/>
      <c r="B11" s="8" t="s">
        <v>18</v>
      </c>
      <c r="C11" s="6" t="s">
        <v>19</v>
      </c>
      <c r="D11" s="6" t="s">
        <v>20</v>
      </c>
      <c r="E11" s="18" t="s">
        <v>34</v>
      </c>
      <c r="F11" s="7">
        <v>3.65</v>
      </c>
      <c r="G11" s="7">
        <v>60</v>
      </c>
      <c r="H11" s="7">
        <v>7.0000000000000007E-2</v>
      </c>
      <c r="I11" s="7">
        <v>0.02</v>
      </c>
      <c r="J11" s="9">
        <v>15</v>
      </c>
      <c r="K11"/>
    </row>
    <row r="12" spans="1:12" ht="15.75" thickBot="1" x14ac:dyDescent="0.3">
      <c r="A12" s="66"/>
      <c r="B12" s="10" t="s">
        <v>14</v>
      </c>
      <c r="C12" s="11" t="s">
        <v>32</v>
      </c>
      <c r="D12" s="11" t="s">
        <v>33</v>
      </c>
      <c r="E12" s="19">
        <v>11</v>
      </c>
      <c r="F12" s="20">
        <v>0.45</v>
      </c>
      <c r="G12" s="20">
        <f>229.7*0.11</f>
        <v>25.266999999999999</v>
      </c>
      <c r="H12" s="12">
        <f>6.7*0.11</f>
        <v>0.73699999999999999</v>
      </c>
      <c r="I12" s="12">
        <f>1.1*0.11</f>
        <v>0.12100000000000001</v>
      </c>
      <c r="J12" s="13">
        <f>48.3*0.11</f>
        <v>5.3129999999999997</v>
      </c>
    </row>
    <row r="13" spans="1:12" ht="16.5" thickBot="1" x14ac:dyDescent="0.3">
      <c r="A13" s="77" t="s">
        <v>15</v>
      </c>
      <c r="B13" s="63"/>
      <c r="C13" s="63"/>
      <c r="D13" s="63"/>
      <c r="E13" s="64"/>
      <c r="F13" s="21">
        <f>SUM(F10:F12)</f>
        <v>26.999999999999996</v>
      </c>
      <c r="G13" s="21">
        <f>SUM(G10:G12)</f>
        <v>307.71699999999998</v>
      </c>
      <c r="H13" s="21">
        <f>SUM(H10:H12)</f>
        <v>9.8040000000000003</v>
      </c>
      <c r="I13" s="21">
        <f>SUM(I10:I12)</f>
        <v>9.0809999999999995</v>
      </c>
      <c r="J13" s="21">
        <f>SUM(J10:J12)</f>
        <v>46.758000000000003</v>
      </c>
    </row>
    <row r="14" spans="1:12" s="45" customFormat="1" x14ac:dyDescent="0.25">
      <c r="A14" s="79" t="s">
        <v>49</v>
      </c>
      <c r="B14" s="22" t="s">
        <v>31</v>
      </c>
      <c r="C14" s="23" t="s">
        <v>75</v>
      </c>
      <c r="D14" s="23" t="s">
        <v>76</v>
      </c>
      <c r="E14" s="15" t="s">
        <v>77</v>
      </c>
      <c r="F14" s="16">
        <v>3.35</v>
      </c>
      <c r="G14" s="16">
        <f>250*0.15+229.7*0.25</f>
        <v>94.924999999999997</v>
      </c>
      <c r="H14" s="16">
        <f>0.4*0.15+6.7*0.25</f>
        <v>1.7350000000000001</v>
      </c>
      <c r="I14" s="16">
        <f>0+1.1*0.25</f>
        <v>0.27500000000000002</v>
      </c>
      <c r="J14" s="17">
        <f>65*0.15+48.3*0.25</f>
        <v>21.824999999999999</v>
      </c>
      <c r="K14"/>
    </row>
    <row r="15" spans="1:12" s="50" customFormat="1" ht="15.75" thickBot="1" x14ac:dyDescent="0.3">
      <c r="A15" s="80"/>
      <c r="B15" s="10" t="s">
        <v>18</v>
      </c>
      <c r="C15" s="11" t="s">
        <v>19</v>
      </c>
      <c r="D15" s="11" t="s">
        <v>20</v>
      </c>
      <c r="E15" s="19" t="s">
        <v>34</v>
      </c>
      <c r="F15" s="20">
        <v>3.65</v>
      </c>
      <c r="G15" s="20">
        <v>60</v>
      </c>
      <c r="H15" s="20">
        <v>7.0000000000000007E-2</v>
      </c>
      <c r="I15" s="20">
        <v>0.02</v>
      </c>
      <c r="J15" s="86">
        <v>15</v>
      </c>
      <c r="K15"/>
    </row>
    <row r="16" spans="1:12" s="45" customFormat="1" ht="16.5" thickBot="1" x14ac:dyDescent="0.3">
      <c r="A16" s="78" t="s">
        <v>15</v>
      </c>
      <c r="B16" s="63"/>
      <c r="C16" s="63"/>
      <c r="D16" s="63"/>
      <c r="E16" s="64"/>
      <c r="F16" s="21">
        <f>SUM(F14:F15)</f>
        <v>7</v>
      </c>
      <c r="G16" s="21">
        <f>SUM(G14:G15)</f>
        <v>154.92500000000001</v>
      </c>
      <c r="H16" s="21">
        <f>SUM(H14:H15)</f>
        <v>1.8050000000000002</v>
      </c>
      <c r="I16" s="21">
        <f>SUM(I14:I15)</f>
        <v>0.29500000000000004</v>
      </c>
      <c r="J16" s="21">
        <f>SUM(J14:J15)</f>
        <v>36.825000000000003</v>
      </c>
    </row>
    <row r="17" spans="1:11" s="45" customFormat="1" ht="30" x14ac:dyDescent="0.25">
      <c r="A17" s="65" t="s">
        <v>50</v>
      </c>
      <c r="B17" s="22" t="s">
        <v>16</v>
      </c>
      <c r="C17" s="23" t="s">
        <v>56</v>
      </c>
      <c r="D17" s="23" t="s">
        <v>57</v>
      </c>
      <c r="E17" s="15" t="s">
        <v>35</v>
      </c>
      <c r="F17" s="16">
        <v>16.579999999999998</v>
      </c>
      <c r="G17" s="16">
        <f>415*0.25+162*0.1</f>
        <v>119.95</v>
      </c>
      <c r="H17" s="16">
        <f>7.21*0.25+2.6*0.1</f>
        <v>2.0625</v>
      </c>
      <c r="I17" s="16">
        <f>19.68*0.25+15*0.1</f>
        <v>6.42</v>
      </c>
      <c r="J17" s="17">
        <f>43.73*0.25+3.6*0.1</f>
        <v>11.292499999999999</v>
      </c>
      <c r="K17"/>
    </row>
    <row r="18" spans="1:11" s="45" customFormat="1" x14ac:dyDescent="0.25">
      <c r="A18" s="66"/>
      <c r="B18" s="8" t="s">
        <v>13</v>
      </c>
      <c r="C18" s="6" t="s">
        <v>71</v>
      </c>
      <c r="D18" s="6" t="s">
        <v>72</v>
      </c>
      <c r="E18" s="18">
        <v>32</v>
      </c>
      <c r="F18" s="7">
        <v>15.73</v>
      </c>
      <c r="G18" s="28">
        <f>202.28/65*32</f>
        <v>99.584000000000003</v>
      </c>
      <c r="H18" s="28">
        <f>9.1/65*32</f>
        <v>4.4799999999999995</v>
      </c>
      <c r="I18" s="28">
        <f>14.43/65*32</f>
        <v>7.1040000000000001</v>
      </c>
      <c r="J18" s="29">
        <f>9.1/65*32</f>
        <v>4.4799999999999995</v>
      </c>
      <c r="K18"/>
    </row>
    <row r="19" spans="1:11" s="45" customFormat="1" x14ac:dyDescent="0.25">
      <c r="A19" s="66"/>
      <c r="B19" s="8" t="s">
        <v>17</v>
      </c>
      <c r="C19" s="6" t="s">
        <v>40</v>
      </c>
      <c r="D19" s="6" t="s">
        <v>41</v>
      </c>
      <c r="E19" s="18">
        <v>100</v>
      </c>
      <c r="F19" s="7">
        <v>7.71</v>
      </c>
      <c r="G19" s="7">
        <f>1398*0.1</f>
        <v>139.80000000000001</v>
      </c>
      <c r="H19" s="7">
        <f>24.34*0.1</f>
        <v>2.4340000000000002</v>
      </c>
      <c r="I19" s="7">
        <f>35.83*0.1</f>
        <v>3.5830000000000002</v>
      </c>
      <c r="J19" s="9">
        <f>244.56*0.1</f>
        <v>24.456000000000003</v>
      </c>
    </row>
    <row r="20" spans="1:11" s="45" customFormat="1" x14ac:dyDescent="0.25">
      <c r="A20" s="66"/>
      <c r="B20" s="8" t="s">
        <v>18</v>
      </c>
      <c r="C20" s="6" t="s">
        <v>19</v>
      </c>
      <c r="D20" s="6" t="s">
        <v>20</v>
      </c>
      <c r="E20" s="18" t="s">
        <v>34</v>
      </c>
      <c r="F20" s="7">
        <v>3.65</v>
      </c>
      <c r="G20" s="7">
        <v>60</v>
      </c>
      <c r="H20" s="7">
        <v>7.0000000000000007E-2</v>
      </c>
      <c r="I20" s="7">
        <v>0.02</v>
      </c>
      <c r="J20" s="9">
        <v>15</v>
      </c>
      <c r="K20"/>
    </row>
    <row r="21" spans="1:11" s="45" customFormat="1" ht="15.75" thickBot="1" x14ac:dyDescent="0.3">
      <c r="A21" s="66"/>
      <c r="B21" s="10" t="s">
        <v>14</v>
      </c>
      <c r="C21" s="11" t="s">
        <v>32</v>
      </c>
      <c r="D21" s="11" t="s">
        <v>33</v>
      </c>
      <c r="E21" s="19">
        <v>32.5</v>
      </c>
      <c r="F21" s="20">
        <v>1.33</v>
      </c>
      <c r="G21" s="20">
        <f>229.7*0.325</f>
        <v>74.652500000000003</v>
      </c>
      <c r="H21" s="12">
        <f>6.7*0.325</f>
        <v>2.1775000000000002</v>
      </c>
      <c r="I21" s="12">
        <f>1.1*0.325</f>
        <v>0.35750000000000004</v>
      </c>
      <c r="J21" s="13">
        <f>48.3*0.325</f>
        <v>15.6975</v>
      </c>
    </row>
    <row r="22" spans="1:11" s="45" customFormat="1" ht="16.5" thickBot="1" x14ac:dyDescent="0.3">
      <c r="A22" s="67" t="s">
        <v>15</v>
      </c>
      <c r="B22" s="68"/>
      <c r="C22" s="68"/>
      <c r="D22" s="68"/>
      <c r="E22" s="69"/>
      <c r="F22" s="31">
        <f>SUM(F17:F21)</f>
        <v>45</v>
      </c>
      <c r="G22" s="31">
        <f t="shared" ref="G22:J22" si="1">SUM(G17:G21)</f>
        <v>493.98649999999998</v>
      </c>
      <c r="H22" s="31">
        <f t="shared" si="1"/>
        <v>11.224</v>
      </c>
      <c r="I22" s="31">
        <f t="shared" si="1"/>
        <v>17.484500000000001</v>
      </c>
      <c r="J22" s="31">
        <f t="shared" si="1"/>
        <v>70.926000000000002</v>
      </c>
    </row>
    <row r="23" spans="1:11" ht="30" x14ac:dyDescent="0.25">
      <c r="A23" s="81" t="s">
        <v>51</v>
      </c>
      <c r="B23" s="22" t="s">
        <v>16</v>
      </c>
      <c r="C23" s="23" t="s">
        <v>56</v>
      </c>
      <c r="D23" s="23" t="s">
        <v>57</v>
      </c>
      <c r="E23" s="15" t="s">
        <v>35</v>
      </c>
      <c r="F23" s="16">
        <v>16.579999999999998</v>
      </c>
      <c r="G23" s="16">
        <f>415*0.25+162*0.1</f>
        <v>119.95</v>
      </c>
      <c r="H23" s="16">
        <f>7.21*0.25+2.6*0.1</f>
        <v>2.0625</v>
      </c>
      <c r="I23" s="16">
        <f>19.68*0.25+15*0.1</f>
        <v>6.42</v>
      </c>
      <c r="J23" s="17">
        <f>43.73*0.25+3.6*0.1</f>
        <v>11.292499999999999</v>
      </c>
    </row>
    <row r="24" spans="1:11" x14ac:dyDescent="0.25">
      <c r="A24" s="82"/>
      <c r="B24" s="8" t="s">
        <v>13</v>
      </c>
      <c r="C24" s="6" t="s">
        <v>71</v>
      </c>
      <c r="D24" s="6" t="s">
        <v>72</v>
      </c>
      <c r="E24" s="18">
        <v>60</v>
      </c>
      <c r="F24" s="7">
        <v>29.5</v>
      </c>
      <c r="G24" s="28">
        <f>202.28/65*60</f>
        <v>186.72</v>
      </c>
      <c r="H24" s="28">
        <f>9.1/65*60</f>
        <v>8.3999999999999986</v>
      </c>
      <c r="I24" s="28">
        <f>14.43/65*60</f>
        <v>13.32</v>
      </c>
      <c r="J24" s="29">
        <f>9.1/65*60</f>
        <v>8.3999999999999986</v>
      </c>
      <c r="K24"/>
    </row>
    <row r="25" spans="1:11" x14ac:dyDescent="0.25">
      <c r="A25" s="82"/>
      <c r="B25" s="8" t="s">
        <v>17</v>
      </c>
      <c r="C25" s="6" t="s">
        <v>40</v>
      </c>
      <c r="D25" s="6" t="s">
        <v>41</v>
      </c>
      <c r="E25" s="18">
        <v>120</v>
      </c>
      <c r="F25" s="7">
        <v>9.25</v>
      </c>
      <c r="G25" s="7">
        <f>1398*0.12</f>
        <v>167.76</v>
      </c>
      <c r="H25" s="7">
        <f>24.34*0.12</f>
        <v>2.9207999999999998</v>
      </c>
      <c r="I25" s="7">
        <f>35.83*0.12</f>
        <v>4.2995999999999999</v>
      </c>
      <c r="J25" s="9">
        <f>244.56*0.12</f>
        <v>29.347200000000001</v>
      </c>
      <c r="K25"/>
    </row>
    <row r="26" spans="1:11" x14ac:dyDescent="0.25">
      <c r="A26" s="82"/>
      <c r="B26" s="8" t="s">
        <v>18</v>
      </c>
      <c r="C26" s="6" t="s">
        <v>58</v>
      </c>
      <c r="D26" s="6" t="s">
        <v>59</v>
      </c>
      <c r="E26" s="18" t="s">
        <v>60</v>
      </c>
      <c r="F26" s="7">
        <v>5.25</v>
      </c>
      <c r="G26" s="7">
        <v>62</v>
      </c>
      <c r="H26" s="28">
        <v>0.13</v>
      </c>
      <c r="I26" s="28">
        <v>0.02</v>
      </c>
      <c r="J26" s="29">
        <v>15.2</v>
      </c>
    </row>
    <row r="27" spans="1:11" x14ac:dyDescent="0.25">
      <c r="A27" s="82"/>
      <c r="B27" s="8" t="s">
        <v>21</v>
      </c>
      <c r="C27" s="33" t="s">
        <v>61</v>
      </c>
      <c r="D27" s="6" t="s">
        <v>62</v>
      </c>
      <c r="E27" s="18">
        <v>50</v>
      </c>
      <c r="F27" s="7">
        <v>7.74</v>
      </c>
      <c r="G27" s="36">
        <v>198.6</v>
      </c>
      <c r="H27" s="36">
        <v>4.0999999999999996</v>
      </c>
      <c r="I27" s="36">
        <v>7.7</v>
      </c>
      <c r="J27" s="38">
        <v>28.2</v>
      </c>
      <c r="K27"/>
    </row>
    <row r="28" spans="1:11" s="53" customFormat="1" ht="15.75" thickBot="1" x14ac:dyDescent="0.3">
      <c r="A28" s="82"/>
      <c r="B28" s="10" t="s">
        <v>14</v>
      </c>
      <c r="C28" s="11" t="s">
        <v>32</v>
      </c>
      <c r="D28" s="11" t="s">
        <v>33</v>
      </c>
      <c r="E28" s="19">
        <v>29</v>
      </c>
      <c r="F28" s="20">
        <v>1.18</v>
      </c>
      <c r="G28" s="20">
        <f>229.7*0.29</f>
        <v>66.612999999999985</v>
      </c>
      <c r="H28" s="12">
        <f>6.7*0.29</f>
        <v>1.9429999999999998</v>
      </c>
      <c r="I28" s="12">
        <f>1.1*0.29</f>
        <v>0.31900000000000001</v>
      </c>
      <c r="J28" s="13">
        <f>48.3*0.29</f>
        <v>14.006999999999998</v>
      </c>
    </row>
    <row r="29" spans="1:11" ht="16.5" thickBot="1" x14ac:dyDescent="0.3">
      <c r="A29" s="67" t="s">
        <v>15</v>
      </c>
      <c r="B29" s="84"/>
      <c r="C29" s="84"/>
      <c r="D29" s="84"/>
      <c r="E29" s="85"/>
      <c r="F29" s="51">
        <f>SUM(F23:F28)</f>
        <v>69.5</v>
      </c>
      <c r="G29" s="51">
        <f>SUM(G23:G28)</f>
        <v>801.64300000000003</v>
      </c>
      <c r="H29" s="51">
        <f>SUM(H23:H28)</f>
        <v>19.5563</v>
      </c>
      <c r="I29" s="51">
        <f>SUM(I23:I28)</f>
        <v>32.078600000000002</v>
      </c>
      <c r="J29" s="51">
        <f>SUM(J23:J28)</f>
        <v>106.44669999999999</v>
      </c>
      <c r="K29"/>
    </row>
    <row r="31" spans="1:11" ht="15.75" thickBot="1" x14ac:dyDescent="0.3">
      <c r="A31" s="60" t="s">
        <v>25</v>
      </c>
      <c r="B31" s="60"/>
      <c r="C31" s="60"/>
      <c r="D31" s="60"/>
      <c r="E31" s="60"/>
      <c r="F31" s="60"/>
      <c r="G31" s="60"/>
      <c r="H31" s="60"/>
      <c r="I31" s="60"/>
      <c r="J31" s="60"/>
    </row>
    <row r="32" spans="1:11" ht="15.75" x14ac:dyDescent="0.25">
      <c r="A32" s="24"/>
      <c r="B32" s="24"/>
      <c r="C32" s="59" t="s">
        <v>23</v>
      </c>
      <c r="D32" s="59"/>
      <c r="G32" s="61"/>
      <c r="H32" s="61"/>
      <c r="I32" s="61"/>
      <c r="J32" s="61"/>
    </row>
    <row r="33" spans="1:4" x14ac:dyDescent="0.25">
      <c r="A33" s="1"/>
      <c r="B33" s="1"/>
      <c r="C33" s="1"/>
      <c r="D33" s="1"/>
    </row>
    <row r="34" spans="1:4" x14ac:dyDescent="0.25">
      <c r="A34" s="70" t="s">
        <v>24</v>
      </c>
      <c r="B34" s="70"/>
    </row>
    <row r="35" spans="1:4" x14ac:dyDescent="0.25">
      <c r="A35" s="70" t="s">
        <v>26</v>
      </c>
      <c r="B35" s="70"/>
    </row>
    <row r="36" spans="1:4" x14ac:dyDescent="0.25">
      <c r="A36" s="42"/>
    </row>
  </sheetData>
  <mergeCells count="17">
    <mergeCell ref="A34:B34"/>
    <mergeCell ref="A35:B35"/>
    <mergeCell ref="A23:A28"/>
    <mergeCell ref="A29:E29"/>
    <mergeCell ref="A31:J31"/>
    <mergeCell ref="C32:D32"/>
    <mergeCell ref="G32:J32"/>
    <mergeCell ref="B1:C1"/>
    <mergeCell ref="G1:J1"/>
    <mergeCell ref="A3:A8"/>
    <mergeCell ref="A9:E9"/>
    <mergeCell ref="A10:A12"/>
    <mergeCell ref="A13:E13"/>
    <mergeCell ref="A17:A21"/>
    <mergeCell ref="A22:E22"/>
    <mergeCell ref="A16:E16"/>
    <mergeCell ref="A14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05.04 1-4 кл</vt:lpstr>
      <vt:lpstr>05.04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2022-04-04T11:31:53Z</dcterms:modified>
</cp:coreProperties>
</file>