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1.04 1-4 кл" sheetId="1" r:id="rId1"/>
    <sheet name="11.04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I27" i="2"/>
  <c r="H27" i="2"/>
  <c r="G27" i="2"/>
  <c r="J28" i="2"/>
  <c r="I28" i="2"/>
  <c r="H28" i="2"/>
  <c r="G28" i="2"/>
  <c r="J25" i="2"/>
  <c r="I25" i="2"/>
  <c r="H25" i="2"/>
  <c r="G25" i="2"/>
  <c r="J24" i="2"/>
  <c r="I24" i="2"/>
  <c r="H24" i="2"/>
  <c r="G24" i="2"/>
  <c r="J21" i="2"/>
  <c r="I21" i="2"/>
  <c r="H21" i="2"/>
  <c r="G21" i="2"/>
  <c r="J19" i="2"/>
  <c r="I19" i="2"/>
  <c r="H19" i="2"/>
  <c r="G19" i="2"/>
  <c r="J18" i="2"/>
  <c r="I18" i="2"/>
  <c r="H18" i="2"/>
  <c r="G18" i="2"/>
  <c r="J14" i="2"/>
  <c r="I14" i="2"/>
  <c r="H14" i="2"/>
  <c r="G14" i="2"/>
  <c r="J12" i="2"/>
  <c r="I12" i="2"/>
  <c r="H12" i="2"/>
  <c r="G12" i="2"/>
  <c r="J10" i="2"/>
  <c r="I10" i="2"/>
  <c r="H10" i="2"/>
  <c r="G10" i="2"/>
  <c r="J8" i="2"/>
  <c r="I8" i="2"/>
  <c r="H8" i="2"/>
  <c r="G8" i="2"/>
  <c r="J4" i="2"/>
  <c r="I4" i="2"/>
  <c r="H4" i="2"/>
  <c r="G4" i="2"/>
  <c r="J25" i="1"/>
  <c r="I25" i="1"/>
  <c r="H25" i="1"/>
  <c r="G25" i="1"/>
  <c r="J23" i="1"/>
  <c r="I23" i="1"/>
  <c r="H23" i="1"/>
  <c r="G23" i="1"/>
  <c r="J21" i="1"/>
  <c r="I21" i="1"/>
  <c r="H21" i="1"/>
  <c r="G21" i="1"/>
  <c r="J20" i="1"/>
  <c r="I20" i="1"/>
  <c r="H20" i="1"/>
  <c r="G20" i="1"/>
  <c r="J18" i="1"/>
  <c r="I18" i="1"/>
  <c r="H18" i="1"/>
  <c r="G18" i="1"/>
  <c r="J14" i="1"/>
  <c r="I14" i="1"/>
  <c r="H14" i="1"/>
  <c r="G14" i="1"/>
  <c r="J12" i="1"/>
  <c r="I12" i="1"/>
  <c r="H12" i="1"/>
  <c r="G12" i="1"/>
  <c r="J11" i="1"/>
  <c r="I11" i="1"/>
  <c r="H11" i="1"/>
  <c r="G11" i="1"/>
  <c r="J8" i="1"/>
  <c r="I8" i="1"/>
  <c r="H8" i="1"/>
  <c r="G8" i="1"/>
  <c r="G4" i="1"/>
  <c r="H4" i="1"/>
  <c r="I4" i="1"/>
  <c r="J4" i="1"/>
  <c r="J3" i="1"/>
  <c r="I3" i="1"/>
  <c r="H3" i="1"/>
  <c r="G3" i="1"/>
  <c r="G29" i="2" l="1"/>
  <c r="H29" i="2"/>
  <c r="I29" i="2"/>
  <c r="J29" i="2"/>
  <c r="F29" i="2"/>
  <c r="J7" i="1" l="1"/>
  <c r="I7" i="1"/>
  <c r="H7" i="1"/>
  <c r="G7" i="1"/>
  <c r="J5" i="1"/>
  <c r="I5" i="1"/>
  <c r="H5" i="1"/>
  <c r="G5" i="1"/>
  <c r="I3" i="2" l="1"/>
  <c r="H3" i="2"/>
  <c r="G3" i="2"/>
  <c r="F22" i="1" l="1"/>
  <c r="J17" i="1" l="1"/>
  <c r="I17" i="1"/>
  <c r="I22" i="1" s="1"/>
  <c r="H17" i="1"/>
  <c r="H22" i="1" s="1"/>
  <c r="G17" i="1"/>
  <c r="G22" i="1" s="1"/>
  <c r="J22" i="1" l="1"/>
  <c r="J7" i="2"/>
  <c r="I7" i="2"/>
  <c r="H7" i="2"/>
  <c r="G7" i="2"/>
  <c r="J5" i="2"/>
  <c r="I5" i="2"/>
  <c r="H5" i="2"/>
  <c r="G5" i="2"/>
  <c r="J3" i="2"/>
  <c r="F26" i="1" l="1"/>
  <c r="J24" i="1"/>
  <c r="I24" i="1"/>
  <c r="H24" i="1"/>
  <c r="G24" i="1"/>
  <c r="G26" i="1" l="1"/>
  <c r="I26" i="1"/>
  <c r="H26" i="1"/>
  <c r="J26" i="1"/>
  <c r="F13" i="2" l="1"/>
  <c r="J13" i="2"/>
  <c r="I13" i="2"/>
  <c r="H13" i="2"/>
  <c r="G13" i="2"/>
  <c r="F16" i="2"/>
  <c r="J16" i="2"/>
  <c r="I16" i="2"/>
  <c r="H16" i="2"/>
  <c r="G16" i="2"/>
  <c r="F9" i="1"/>
  <c r="F15" i="1"/>
  <c r="F22" i="2" l="1"/>
  <c r="G9" i="2"/>
  <c r="H9" i="2"/>
  <c r="I9" i="2"/>
  <c r="J9" i="2"/>
  <c r="F9" i="2"/>
  <c r="J22" i="2" l="1"/>
  <c r="I22" i="2"/>
  <c r="H22" i="2"/>
  <c r="G22" i="2"/>
  <c r="J15" i="1" l="1"/>
  <c r="I15" i="1"/>
  <c r="H15" i="1"/>
  <c r="G15" i="1"/>
  <c r="G9" i="1"/>
  <c r="I9" i="1"/>
  <c r="H9" i="1"/>
  <c r="J9" i="1" l="1"/>
</calcChain>
</file>

<file path=xl/sharedStrings.xml><?xml version="1.0" encoding="utf-8"?>
<sst xmlns="http://schemas.openxmlformats.org/spreadsheetml/2006/main" count="192" uniqueCount="66">
  <si>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</si>
  <si>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</si>
  <si>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</si>
  <si>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</si>
  <si>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</si>
  <si>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</si>
  <si>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</si>
  <si>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</si>
  <si>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</si>
  <si>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</si>
  <si>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</si>
  <si>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</si>
  <si>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</si>
  <si>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</si>
  <si>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</si>
  <si>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</si>
  <si>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</si>
  <si>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</si>
  <si>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</si>
  <si>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</si>
  <si>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</si>
  <si>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</si>
  <si>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Фрукт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</si>
  <si>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</si>
  <si>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</si>
  <si>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</si>
  <si>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</si>
  <si>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</si>
  <si>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</si>
  <si>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</si>
  <si>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</si>
  <si>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</si>
  <si>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</si>
  <si>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№45-2015г.</t>
  </si>
  <si>
    <t>№210-2015г.</t>
  </si>
  <si>
    <t>Омлет натуральный</t>
  </si>
  <si>
    <t>№379-2015г.</t>
  </si>
  <si>
    <t>Кофейный напиток с молоком</t>
  </si>
  <si>
    <t>№15-2015г.</t>
  </si>
  <si>
    <t>Сыр "Российский" (порциями)</t>
  </si>
  <si>
    <t>ТТК№5</t>
  </si>
  <si>
    <t>Батон "Домашний"</t>
  </si>
  <si>
    <t>№295-2015г.</t>
  </si>
  <si>
    <t>Котлета рубленая из бройлер-цыплят</t>
  </si>
  <si>
    <t>№304-2015г.</t>
  </si>
  <si>
    <t>Рис отварной</t>
  </si>
  <si>
    <t>200/15</t>
  </si>
  <si>
    <t>№338-2015г.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</si>
  <si>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</si>
  <si>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</si>
  <si>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</si>
  <si>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</si>
  <si>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</si>
  <si>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ТТК №6</t>
  </si>
  <si>
    <t>Булочка "Рулетик с маком"</t>
  </si>
  <si>
    <t>Бутерброд с сыром</t>
  </si>
  <si>
    <t>Фрукт свежий (яблоко)</t>
  </si>
  <si>
    <t>№102-2015г.</t>
  </si>
  <si>
    <t>Суп картофельный с горохом с зеленью</t>
  </si>
  <si>
    <t>250/2</t>
  </si>
  <si>
    <t>№2-2015г.</t>
  </si>
  <si>
    <t>Бутерброд с повидлом</t>
  </si>
  <si>
    <t>Салат из белокочанной капусты с зеленью</t>
  </si>
  <si>
    <t>10/4/20</t>
  </si>
  <si>
    <t>Апельсин свежий (порциями)</t>
  </si>
  <si>
    <t>15/25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</si>
</sst>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1" fillId="0" borderId="16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2" fontId="1" fillId="0" borderId="22" xfId="0" applyNumberFormat="1" applyFont="1" applyBorder="1" applyAlignment="1">
      <alignment horizontal="right" vertical="center" wrapText="1"/>
    </xf>
    <xf numFmtId="2" fontId="1" fillId="0" borderId="22" xfId="0" applyNumberFormat="1" applyFont="1" applyBorder="1" applyAlignment="1">
      <alignment vertical="center" wrapText="1"/>
    </xf>
    <xf numFmtId="2" fontId="1" fillId="0" borderId="23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2" fontId="2" fillId="0" borderId="34" xfId="0" applyNumberFormat="1" applyFont="1" applyBorder="1" applyAlignment="1">
      <alignment vertical="center" wrapText="1"/>
    </xf>
    <xf numFmtId="0" fontId="1" fillId="0" borderId="0" xfId="0" applyFont="1"/>
    <xf numFmtId="2" fontId="2" fillId="0" borderId="36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14" fontId="4" fillId="0" borderId="2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4" workbookViewId="0">
      <selection activeCell="B16" sqref="B16:J21"/>
    </sheetView>
  </sheetViews>
  <sheetFormatPr defaultRowHeight="15" x14ac:dyDescent="0.25"/>
  <cols>
    <col min="1" max="1" width="19.5703125" style="2" customWidth="1"/>
    <col min="2" max="2" width="24.7109375" style="2" customWidth="1"/>
    <col min="3" max="3" width="12.28515625" style="2" customWidth="1"/>
    <col min="4" max="4" width="48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41" t="s">
        <v>0</v>
      </c>
      <c r="B1" s="51" t="s">
        <v>23</v>
      </c>
      <c r="C1" s="52"/>
      <c r="D1" s="1" t="s">
        <v>1</v>
      </c>
      <c r="E1" s="44"/>
      <c r="F1" s="1" t="s">
        <v>2</v>
      </c>
      <c r="G1" s="53">
        <v>44662</v>
      </c>
      <c r="H1" s="54"/>
      <c r="I1" s="54"/>
      <c r="J1" s="55"/>
      <c r="K1" s="1"/>
      <c r="L1" s="1"/>
    </row>
    <row r="2" spans="1:12" ht="15.75" thickBot="1" x14ac:dyDescent="0.3">
      <c r="A2" s="42" t="s">
        <v>3</v>
      </c>
      <c r="B2" s="5" t="s">
        <v>4</v>
      </c>
      <c r="C2" s="43" t="s">
        <v>5</v>
      </c>
      <c r="D2" s="42" t="s">
        <v>6</v>
      </c>
      <c r="E2" s="42" t="s">
        <v>7</v>
      </c>
      <c r="F2" s="42" t="s">
        <v>8</v>
      </c>
      <c r="G2" s="5" t="s">
        <v>9</v>
      </c>
      <c r="H2" s="5" t="s">
        <v>10</v>
      </c>
      <c r="I2" s="5" t="s">
        <v>11</v>
      </c>
      <c r="J2" s="38" t="s">
        <v>12</v>
      </c>
    </row>
    <row r="3" spans="1:12" x14ac:dyDescent="0.25">
      <c r="A3" s="72" t="s">
        <v>28</v>
      </c>
      <c r="B3" s="16" t="s">
        <v>32</v>
      </c>
      <c r="C3" s="17" t="s">
        <v>38</v>
      </c>
      <c r="D3" s="17" t="s">
        <v>39</v>
      </c>
      <c r="E3" s="18">
        <v>22</v>
      </c>
      <c r="F3" s="18">
        <v>19.97</v>
      </c>
      <c r="G3" s="19">
        <f>3.64*22</f>
        <v>80.08</v>
      </c>
      <c r="H3" s="19">
        <f>23.2*0.22</f>
        <v>5.1040000000000001</v>
      </c>
      <c r="I3" s="19">
        <f>29.5*0.22</f>
        <v>6.49</v>
      </c>
      <c r="J3" s="20">
        <f>0</f>
        <v>0</v>
      </c>
    </row>
    <row r="4" spans="1:12" x14ac:dyDescent="0.25">
      <c r="A4" s="73"/>
      <c r="B4" s="9" t="s">
        <v>32</v>
      </c>
      <c r="C4" s="6" t="s">
        <v>33</v>
      </c>
      <c r="D4" s="6" t="s">
        <v>62</v>
      </c>
      <c r="E4" s="21">
        <v>70</v>
      </c>
      <c r="F4" s="8">
        <v>12.42</v>
      </c>
      <c r="G4" s="8">
        <f>596*0.07</f>
        <v>41.720000000000006</v>
      </c>
      <c r="H4" s="8">
        <f>13.12*0.07</f>
        <v>0.91839999999999999</v>
      </c>
      <c r="I4" s="8">
        <f>32.49*0.07</f>
        <v>2.2743000000000002</v>
      </c>
      <c r="J4" s="10">
        <f>62.7*0.07</f>
        <v>4.3890000000000002</v>
      </c>
    </row>
    <row r="5" spans="1:12" x14ac:dyDescent="0.25">
      <c r="A5" s="73"/>
      <c r="B5" s="9" t="s">
        <v>13</v>
      </c>
      <c r="C5" s="6" t="s">
        <v>34</v>
      </c>
      <c r="D5" s="6" t="s">
        <v>35</v>
      </c>
      <c r="E5" s="21">
        <v>105</v>
      </c>
      <c r="F5" s="8">
        <v>24.18</v>
      </c>
      <c r="G5" s="8">
        <f>79*2</f>
        <v>158</v>
      </c>
      <c r="H5" s="8">
        <f>5.32*2</f>
        <v>10.64</v>
      </c>
      <c r="I5" s="8">
        <f>5.97*2</f>
        <v>11.94</v>
      </c>
      <c r="J5" s="10">
        <f>0.95*2</f>
        <v>1.9</v>
      </c>
    </row>
    <row r="6" spans="1:12" x14ac:dyDescent="0.25">
      <c r="A6" s="73"/>
      <c r="B6" s="9" t="s">
        <v>18</v>
      </c>
      <c r="C6" s="6" t="s">
        <v>36</v>
      </c>
      <c r="D6" s="6" t="s">
        <v>37</v>
      </c>
      <c r="E6" s="21">
        <v>200</v>
      </c>
      <c r="F6" s="8">
        <v>8.98</v>
      </c>
      <c r="G6" s="8">
        <v>100.6</v>
      </c>
      <c r="H6" s="8">
        <v>3.17</v>
      </c>
      <c r="I6" s="8">
        <v>2.68</v>
      </c>
      <c r="J6" s="10">
        <v>15.95</v>
      </c>
    </row>
    <row r="7" spans="1:12" x14ac:dyDescent="0.25">
      <c r="A7" s="73"/>
      <c r="B7" s="9" t="s">
        <v>21</v>
      </c>
      <c r="C7" s="6" t="s">
        <v>53</v>
      </c>
      <c r="D7" s="6" t="s">
        <v>54</v>
      </c>
      <c r="E7" s="21">
        <v>50</v>
      </c>
      <c r="F7" s="8">
        <v>8.1999999999999993</v>
      </c>
      <c r="G7" s="8">
        <f>397.2*0.5</f>
        <v>198.6</v>
      </c>
      <c r="H7" s="7">
        <f>8.2*0.5</f>
        <v>4.0999999999999996</v>
      </c>
      <c r="I7" s="7">
        <f>15.4*0.5</f>
        <v>7.7</v>
      </c>
      <c r="J7" s="11">
        <f>56.4*0.5</f>
        <v>28.2</v>
      </c>
    </row>
    <row r="8" spans="1:12" ht="15.75" thickBot="1" x14ac:dyDescent="0.3">
      <c r="A8" s="74"/>
      <c r="B8" s="12" t="s">
        <v>14</v>
      </c>
      <c r="C8" s="13" t="s">
        <v>40</v>
      </c>
      <c r="D8" s="13" t="s">
        <v>41</v>
      </c>
      <c r="E8" s="22">
        <v>24</v>
      </c>
      <c r="F8" s="23">
        <v>0.98</v>
      </c>
      <c r="G8" s="23">
        <f>229.7*0.24</f>
        <v>55.127999999999993</v>
      </c>
      <c r="H8" s="14">
        <f>6.7*0.24</f>
        <v>1.6079999999999999</v>
      </c>
      <c r="I8" s="14">
        <f>1.1*0.24</f>
        <v>0.26400000000000001</v>
      </c>
      <c r="J8" s="15">
        <f>48.3*0.24</f>
        <v>11.591999999999999</v>
      </c>
    </row>
    <row r="9" spans="1:12" ht="16.5" thickBot="1" x14ac:dyDescent="0.3">
      <c r="A9" s="59" t="s">
        <v>15</v>
      </c>
      <c r="B9" s="60"/>
      <c r="C9" s="60"/>
      <c r="D9" s="60"/>
      <c r="E9" s="61"/>
      <c r="F9" s="24">
        <f>SUM(F3:F8)</f>
        <v>74.73</v>
      </c>
      <c r="G9" s="24">
        <f t="shared" ref="G9:J9" si="0">SUM(G3:G8)</f>
        <v>634.12800000000004</v>
      </c>
      <c r="H9" s="24">
        <f t="shared" si="0"/>
        <v>25.540400000000002</v>
      </c>
      <c r="I9" s="24">
        <f t="shared" si="0"/>
        <v>31.348299999999998</v>
      </c>
      <c r="J9" s="24">
        <f t="shared" si="0"/>
        <v>62.030999999999992</v>
      </c>
    </row>
    <row r="10" spans="1:12" x14ac:dyDescent="0.25">
      <c r="A10" s="62" t="s">
        <v>29</v>
      </c>
      <c r="B10" s="25" t="s">
        <v>16</v>
      </c>
      <c r="C10" s="26" t="s">
        <v>57</v>
      </c>
      <c r="D10" s="26" t="s">
        <v>58</v>
      </c>
      <c r="E10" s="18" t="s">
        <v>59</v>
      </c>
      <c r="F10" s="19">
        <v>11.74</v>
      </c>
      <c r="G10" s="19">
        <v>148.25</v>
      </c>
      <c r="H10" s="19">
        <v>5.49</v>
      </c>
      <c r="I10" s="19">
        <v>5.27</v>
      </c>
      <c r="J10" s="20">
        <v>16.54</v>
      </c>
    </row>
    <row r="11" spans="1:12" x14ac:dyDescent="0.25">
      <c r="A11" s="63"/>
      <c r="B11" s="9" t="s">
        <v>13</v>
      </c>
      <c r="C11" s="6" t="s">
        <v>42</v>
      </c>
      <c r="D11" s="6" t="s">
        <v>43</v>
      </c>
      <c r="E11" s="21">
        <v>43</v>
      </c>
      <c r="F11" s="8">
        <v>19.21</v>
      </c>
      <c r="G11" s="8">
        <f>161/50*43</f>
        <v>138.46</v>
      </c>
      <c r="H11" s="8">
        <f>7.61/50*43</f>
        <v>6.5446</v>
      </c>
      <c r="I11" s="8">
        <f>11/50*43</f>
        <v>9.4600000000000009</v>
      </c>
      <c r="J11" s="10">
        <f>7.66/50*43</f>
        <v>6.5876000000000001</v>
      </c>
    </row>
    <row r="12" spans="1:12" x14ac:dyDescent="0.25">
      <c r="A12" s="63"/>
      <c r="B12" s="9" t="s">
        <v>17</v>
      </c>
      <c r="C12" s="6" t="s">
        <v>44</v>
      </c>
      <c r="D12" s="6" t="s">
        <v>45</v>
      </c>
      <c r="E12" s="21">
        <v>120</v>
      </c>
      <c r="F12" s="8">
        <v>9.25</v>
      </c>
      <c r="G12" s="8">
        <f>1398*0.12</f>
        <v>167.76</v>
      </c>
      <c r="H12" s="8">
        <f>24.34*0.12</f>
        <v>2.9207999999999998</v>
      </c>
      <c r="I12" s="8">
        <f>35.83*0.12</f>
        <v>4.2995999999999999</v>
      </c>
      <c r="J12" s="10">
        <f>244.56*0.12</f>
        <v>29.347200000000001</v>
      </c>
    </row>
    <row r="13" spans="1:12" x14ac:dyDescent="0.25">
      <c r="A13" s="63"/>
      <c r="B13" s="9" t="s">
        <v>18</v>
      </c>
      <c r="C13" s="6" t="s">
        <v>19</v>
      </c>
      <c r="D13" s="6" t="s">
        <v>20</v>
      </c>
      <c r="E13" s="21" t="s">
        <v>46</v>
      </c>
      <c r="F13" s="8">
        <v>3.65</v>
      </c>
      <c r="G13" s="8">
        <v>60</v>
      </c>
      <c r="H13" s="8">
        <v>7.0000000000000007E-2</v>
      </c>
      <c r="I13" s="8">
        <v>0.02</v>
      </c>
      <c r="J13" s="10">
        <v>15</v>
      </c>
    </row>
    <row r="14" spans="1:12" ht="15.75" thickBot="1" x14ac:dyDescent="0.3">
      <c r="A14" s="63"/>
      <c r="B14" s="28" t="s">
        <v>14</v>
      </c>
      <c r="C14" s="29" t="s">
        <v>40</v>
      </c>
      <c r="D14" s="29" t="s">
        <v>41</v>
      </c>
      <c r="E14" s="30">
        <v>16.5</v>
      </c>
      <c r="F14" s="31">
        <v>0.68</v>
      </c>
      <c r="G14" s="31">
        <f>229.7*0.165</f>
        <v>37.900500000000001</v>
      </c>
      <c r="H14" s="32">
        <f>6.7*0.165</f>
        <v>1.1055000000000001</v>
      </c>
      <c r="I14" s="32">
        <f>1.1*0.165</f>
        <v>0.18150000000000002</v>
      </c>
      <c r="J14" s="33">
        <f>48.3*0.165</f>
        <v>7.9695</v>
      </c>
    </row>
    <row r="15" spans="1:12" ht="16.5" thickBot="1" x14ac:dyDescent="0.3">
      <c r="A15" s="64" t="s">
        <v>15</v>
      </c>
      <c r="B15" s="65"/>
      <c r="C15" s="65"/>
      <c r="D15" s="65"/>
      <c r="E15" s="66"/>
      <c r="F15" s="48">
        <f>SUM(F10:F14)</f>
        <v>44.53</v>
      </c>
      <c r="G15" s="48">
        <f t="shared" ref="G15:J15" si="1">SUM(G10:G14)</f>
        <v>552.37049999999999</v>
      </c>
      <c r="H15" s="48">
        <f t="shared" si="1"/>
        <v>16.1309</v>
      </c>
      <c r="I15" s="48">
        <f t="shared" si="1"/>
        <v>19.231100000000001</v>
      </c>
      <c r="J15" s="48">
        <f t="shared" si="1"/>
        <v>75.444299999999998</v>
      </c>
    </row>
    <row r="16" spans="1:12" s="47" customFormat="1" x14ac:dyDescent="0.25">
      <c r="A16" s="68" t="s">
        <v>30</v>
      </c>
      <c r="B16" s="25" t="s">
        <v>16</v>
      </c>
      <c r="C16" s="26" t="s">
        <v>57</v>
      </c>
      <c r="D16" s="26" t="s">
        <v>58</v>
      </c>
      <c r="E16" s="18" t="s">
        <v>59</v>
      </c>
      <c r="F16" s="19">
        <v>11.74</v>
      </c>
      <c r="G16" s="19">
        <v>148.25</v>
      </c>
      <c r="H16" s="19">
        <v>5.49</v>
      </c>
      <c r="I16" s="19">
        <v>5.27</v>
      </c>
      <c r="J16" s="20">
        <v>16.54</v>
      </c>
    </row>
    <row r="17" spans="1:10" x14ac:dyDescent="0.25">
      <c r="A17" s="69"/>
      <c r="B17" s="9" t="s">
        <v>13</v>
      </c>
      <c r="C17" s="6" t="s">
        <v>42</v>
      </c>
      <c r="D17" s="6" t="s">
        <v>43</v>
      </c>
      <c r="E17" s="21">
        <v>75</v>
      </c>
      <c r="F17" s="8">
        <v>33.51</v>
      </c>
      <c r="G17" s="8">
        <f>161/50*75</f>
        <v>241.50000000000003</v>
      </c>
      <c r="H17" s="8">
        <f>7.61/50*75</f>
        <v>11.415000000000001</v>
      </c>
      <c r="I17" s="8">
        <f>11.07/50*75</f>
        <v>16.605</v>
      </c>
      <c r="J17" s="10">
        <f>7.66/50*75</f>
        <v>11.49</v>
      </c>
    </row>
    <row r="18" spans="1:10" s="40" customFormat="1" x14ac:dyDescent="0.25">
      <c r="A18" s="69"/>
      <c r="B18" s="9" t="s">
        <v>17</v>
      </c>
      <c r="C18" s="6" t="s">
        <v>44</v>
      </c>
      <c r="D18" s="6" t="s">
        <v>45</v>
      </c>
      <c r="E18" s="21">
        <v>120</v>
      </c>
      <c r="F18" s="8">
        <v>9.25</v>
      </c>
      <c r="G18" s="8">
        <f>1398*0.12</f>
        <v>167.76</v>
      </c>
      <c r="H18" s="8">
        <f>24.34*0.12</f>
        <v>2.9207999999999998</v>
      </c>
      <c r="I18" s="8">
        <f>35.83*0.12</f>
        <v>4.2995999999999999</v>
      </c>
      <c r="J18" s="10">
        <f>244.56*0.12</f>
        <v>29.347200000000001</v>
      </c>
    </row>
    <row r="19" spans="1:10" x14ac:dyDescent="0.25">
      <c r="A19" s="69"/>
      <c r="B19" s="9" t="s">
        <v>18</v>
      </c>
      <c r="C19" s="6" t="s">
        <v>19</v>
      </c>
      <c r="D19" s="6" t="s">
        <v>20</v>
      </c>
      <c r="E19" s="21" t="s">
        <v>46</v>
      </c>
      <c r="F19" s="8">
        <v>3.65</v>
      </c>
      <c r="G19" s="8">
        <v>60</v>
      </c>
      <c r="H19" s="8">
        <v>7.0000000000000007E-2</v>
      </c>
      <c r="I19" s="8">
        <v>0.02</v>
      </c>
      <c r="J19" s="10">
        <v>15</v>
      </c>
    </row>
    <row r="20" spans="1:10" s="47" customFormat="1" x14ac:dyDescent="0.25">
      <c r="A20" s="69"/>
      <c r="B20" s="9" t="s">
        <v>14</v>
      </c>
      <c r="C20" s="6" t="s">
        <v>40</v>
      </c>
      <c r="D20" s="6" t="s">
        <v>41</v>
      </c>
      <c r="E20" s="21">
        <v>23.5</v>
      </c>
      <c r="F20" s="8">
        <v>0.96</v>
      </c>
      <c r="G20" s="8">
        <f>229.7*0.235</f>
        <v>53.979499999999994</v>
      </c>
      <c r="H20" s="7">
        <f>6.7*0.235</f>
        <v>1.5745</v>
      </c>
      <c r="I20" s="7">
        <f>1.1*0.235</f>
        <v>0.25850000000000001</v>
      </c>
      <c r="J20" s="11">
        <f>48.3*0.235</f>
        <v>11.350499999999998</v>
      </c>
    </row>
    <row r="21" spans="1:10" s="49" customFormat="1" ht="15.75" thickBot="1" x14ac:dyDescent="0.3">
      <c r="A21" s="70"/>
      <c r="B21" s="12" t="s">
        <v>22</v>
      </c>
      <c r="C21" s="13" t="s">
        <v>47</v>
      </c>
      <c r="D21" s="13" t="s">
        <v>64</v>
      </c>
      <c r="E21" s="22">
        <v>80</v>
      </c>
      <c r="F21" s="23">
        <v>15.62</v>
      </c>
      <c r="G21" s="23">
        <f>43*0.8</f>
        <v>34.4</v>
      </c>
      <c r="H21" s="23">
        <f>0.9*0.8</f>
        <v>0.72000000000000008</v>
      </c>
      <c r="I21" s="23">
        <f>0.2*0.8</f>
        <v>0.16000000000000003</v>
      </c>
      <c r="J21" s="27">
        <f>8.1*0.8</f>
        <v>6.48</v>
      </c>
    </row>
    <row r="22" spans="1:10" ht="16.5" thickBot="1" x14ac:dyDescent="0.3">
      <c r="A22" s="67" t="s">
        <v>15</v>
      </c>
      <c r="B22" s="60"/>
      <c r="C22" s="60"/>
      <c r="D22" s="60"/>
      <c r="E22" s="61"/>
      <c r="F22" s="24">
        <f>SUM(F16:F21)</f>
        <v>74.73</v>
      </c>
      <c r="G22" s="24">
        <f>SUM(G16:G21)</f>
        <v>705.8895</v>
      </c>
      <c r="H22" s="24">
        <f>SUM(H16:H21)</f>
        <v>22.190300000000001</v>
      </c>
      <c r="I22" s="24">
        <f>SUM(I16:I21)</f>
        <v>26.613099999999999</v>
      </c>
      <c r="J22" s="24">
        <f>SUM(J16:J21)</f>
        <v>90.207700000000003</v>
      </c>
    </row>
    <row r="23" spans="1:10" s="45" customFormat="1" x14ac:dyDescent="0.25">
      <c r="A23" s="72" t="s">
        <v>31</v>
      </c>
      <c r="B23" s="25" t="s">
        <v>32</v>
      </c>
      <c r="C23" s="26" t="s">
        <v>33</v>
      </c>
      <c r="D23" s="26" t="s">
        <v>55</v>
      </c>
      <c r="E23" s="34" t="s">
        <v>63</v>
      </c>
      <c r="F23" s="19">
        <v>16.420000000000002</v>
      </c>
      <c r="G23" s="19">
        <f>360*0.1+66*0.4+280*0.2</f>
        <v>118.4</v>
      </c>
      <c r="H23" s="19">
        <f>23.2*0.1+0.08*0.4+8*0.2</f>
        <v>3.952</v>
      </c>
      <c r="I23" s="19">
        <f>29.5*0.1+7.25*0.4+3*0.2</f>
        <v>6.4500000000000011</v>
      </c>
      <c r="J23" s="20">
        <f>0+0.13*0.4+54*0.2</f>
        <v>10.852</v>
      </c>
    </row>
    <row r="24" spans="1:10" s="45" customFormat="1" x14ac:dyDescent="0.25">
      <c r="A24" s="73"/>
      <c r="B24" s="9" t="s">
        <v>18</v>
      </c>
      <c r="C24" s="6" t="s">
        <v>36</v>
      </c>
      <c r="D24" s="6" t="s">
        <v>37</v>
      </c>
      <c r="E24" s="21">
        <v>200</v>
      </c>
      <c r="F24" s="8">
        <v>8.98</v>
      </c>
      <c r="G24" s="8">
        <f>503*0.2</f>
        <v>100.60000000000001</v>
      </c>
      <c r="H24" s="8">
        <f>15.83*0.2</f>
        <v>3.1660000000000004</v>
      </c>
      <c r="I24" s="8">
        <f>13.39*0.2</f>
        <v>2.6780000000000004</v>
      </c>
      <c r="J24" s="10">
        <f>79.73*0.2</f>
        <v>15.946000000000002</v>
      </c>
    </row>
    <row r="25" spans="1:10" s="49" customFormat="1" ht="15.75" thickBot="1" x14ac:dyDescent="0.3">
      <c r="A25" s="74"/>
      <c r="B25" s="12" t="s">
        <v>22</v>
      </c>
      <c r="C25" s="13" t="s">
        <v>47</v>
      </c>
      <c r="D25" s="13" t="s">
        <v>56</v>
      </c>
      <c r="E25" s="22">
        <v>95</v>
      </c>
      <c r="F25" s="23">
        <v>19.13</v>
      </c>
      <c r="G25" s="23">
        <f>47*0.95</f>
        <v>44.65</v>
      </c>
      <c r="H25" s="14">
        <f>0.4*0.95</f>
        <v>0.38</v>
      </c>
      <c r="I25" s="14">
        <f>0.4*0.95</f>
        <v>0.38</v>
      </c>
      <c r="J25" s="15">
        <f>9.8*0.95</f>
        <v>9.31</v>
      </c>
    </row>
    <row r="26" spans="1:10" ht="16.5" thickBot="1" x14ac:dyDescent="0.3">
      <c r="A26" s="59" t="s">
        <v>15</v>
      </c>
      <c r="B26" s="75"/>
      <c r="C26" s="75"/>
      <c r="D26" s="75"/>
      <c r="E26" s="76"/>
      <c r="F26" s="3">
        <f>SUM(F23:F25)</f>
        <v>44.53</v>
      </c>
      <c r="G26" s="3">
        <f>SUM(G23:G25)</f>
        <v>263.64999999999998</v>
      </c>
      <c r="H26" s="3">
        <f>SUM(H23:H25)</f>
        <v>7.4980000000000002</v>
      </c>
      <c r="I26" s="3">
        <f>SUM(I23:I25)</f>
        <v>9.5080000000000027</v>
      </c>
      <c r="J26" s="3">
        <f>SUM(J23:J25)</f>
        <v>36.108000000000004</v>
      </c>
    </row>
    <row r="28" spans="1:10" ht="15.75" thickBot="1" x14ac:dyDescent="0.3">
      <c r="A28" s="57" t="s">
        <v>26</v>
      </c>
      <c r="B28" s="57"/>
      <c r="C28" s="57"/>
      <c r="D28" s="57"/>
      <c r="E28" s="57"/>
      <c r="F28" s="57"/>
      <c r="G28" s="57"/>
      <c r="H28" s="57"/>
      <c r="I28" s="57"/>
      <c r="J28" s="57"/>
    </row>
    <row r="29" spans="1:10" ht="15.75" x14ac:dyDescent="0.25">
      <c r="A29" s="35"/>
      <c r="B29" s="35"/>
      <c r="C29" s="56" t="s">
        <v>24</v>
      </c>
      <c r="D29" s="56"/>
      <c r="G29" s="58"/>
      <c r="H29" s="58"/>
      <c r="I29" s="58"/>
      <c r="J29" s="58"/>
    </row>
    <row r="30" spans="1:10" x14ac:dyDescent="0.25">
      <c r="A30" s="1"/>
      <c r="B30" s="1"/>
      <c r="C30" s="1"/>
      <c r="D30" s="1"/>
    </row>
    <row r="31" spans="1:10" ht="15" customHeight="1" x14ac:dyDescent="0.25">
      <c r="A31" s="71" t="s">
        <v>25</v>
      </c>
      <c r="B31" s="71"/>
    </row>
    <row r="32" spans="1:10" ht="15" customHeight="1" x14ac:dyDescent="0.25">
      <c r="A32" s="71" t="s">
        <v>27</v>
      </c>
      <c r="B32" s="71"/>
    </row>
    <row r="33" spans="1:1" x14ac:dyDescent="0.25">
      <c r="A33" s="4"/>
    </row>
  </sheetData>
  <mergeCells count="15">
    <mergeCell ref="A31:B31"/>
    <mergeCell ref="A32:B32"/>
    <mergeCell ref="A3:A8"/>
    <mergeCell ref="A26:E26"/>
    <mergeCell ref="A23:A25"/>
    <mergeCell ref="B1:C1"/>
    <mergeCell ref="G1:J1"/>
    <mergeCell ref="C29:D29"/>
    <mergeCell ref="A28:J28"/>
    <mergeCell ref="G29:J29"/>
    <mergeCell ref="A9:E9"/>
    <mergeCell ref="A10:A14"/>
    <mergeCell ref="A15:E15"/>
    <mergeCell ref="A22:E22"/>
    <mergeCell ref="A16:A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0" workbookViewId="0">
      <selection activeCell="J27" sqref="J27"/>
    </sheetView>
  </sheetViews>
  <sheetFormatPr defaultRowHeight="15" x14ac:dyDescent="0.25"/>
  <cols>
    <col min="1" max="1" width="24" style="2" customWidth="1"/>
    <col min="2" max="2" width="25.140625" style="2" customWidth="1"/>
    <col min="3" max="3" width="12.5703125" style="2" customWidth="1"/>
    <col min="4" max="4" width="50.85546875" style="2" customWidth="1"/>
    <col min="5" max="5" width="9.85546875" style="2" customWidth="1"/>
    <col min="6" max="6" width="9.140625" style="2"/>
    <col min="7" max="7" width="14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51" t="s">
        <v>23</v>
      </c>
      <c r="C1" s="52"/>
      <c r="D1" s="1" t="s">
        <v>1</v>
      </c>
      <c r="E1" s="44"/>
      <c r="F1" s="1" t="s">
        <v>2</v>
      </c>
      <c r="G1" s="53">
        <v>44662</v>
      </c>
      <c r="H1" s="54"/>
      <c r="I1" s="54"/>
      <c r="J1" s="55"/>
      <c r="K1" s="1"/>
      <c r="L1" s="1"/>
    </row>
    <row r="2" spans="1:12" ht="15.75" thickBot="1" x14ac:dyDescent="0.3">
      <c r="A2" s="42" t="s">
        <v>3</v>
      </c>
      <c r="B2" s="5" t="s">
        <v>4</v>
      </c>
      <c r="C2" s="43" t="s">
        <v>5</v>
      </c>
      <c r="D2" s="42" t="s">
        <v>6</v>
      </c>
      <c r="E2" s="42" t="s">
        <v>7</v>
      </c>
      <c r="F2" s="42" t="s">
        <v>8</v>
      </c>
      <c r="G2" s="5" t="s">
        <v>9</v>
      </c>
      <c r="H2" s="5" t="s">
        <v>10</v>
      </c>
      <c r="I2" s="5" t="s">
        <v>11</v>
      </c>
      <c r="J2" s="38" t="s">
        <v>12</v>
      </c>
    </row>
    <row r="3" spans="1:12" x14ac:dyDescent="0.25">
      <c r="A3" s="69" t="s">
        <v>48</v>
      </c>
      <c r="B3" s="16" t="s">
        <v>32</v>
      </c>
      <c r="C3" s="17" t="s">
        <v>38</v>
      </c>
      <c r="D3" s="17" t="s">
        <v>39</v>
      </c>
      <c r="E3" s="18">
        <v>20</v>
      </c>
      <c r="F3" s="18">
        <v>18.23</v>
      </c>
      <c r="G3" s="19">
        <f>3.64*20</f>
        <v>72.8</v>
      </c>
      <c r="H3" s="19">
        <f>23.2*0.2</f>
        <v>4.6399999999999997</v>
      </c>
      <c r="I3" s="19">
        <f>29.5*0.2</f>
        <v>5.9</v>
      </c>
      <c r="J3" s="20">
        <f>0</f>
        <v>0</v>
      </c>
    </row>
    <row r="4" spans="1:12" x14ac:dyDescent="0.25">
      <c r="A4" s="69"/>
      <c r="B4" s="9" t="s">
        <v>32</v>
      </c>
      <c r="C4" s="6" t="s">
        <v>33</v>
      </c>
      <c r="D4" s="6" t="s">
        <v>62</v>
      </c>
      <c r="E4" s="21">
        <v>50</v>
      </c>
      <c r="F4" s="8">
        <v>8.8699999999999992</v>
      </c>
      <c r="G4" s="8">
        <f>596*0.05</f>
        <v>29.8</v>
      </c>
      <c r="H4" s="8">
        <f>13.12*0.05</f>
        <v>0.65600000000000003</v>
      </c>
      <c r="I4" s="8">
        <f>32.49*0.05</f>
        <v>1.6245000000000003</v>
      </c>
      <c r="J4" s="10">
        <f>62.7*0.05</f>
        <v>3.1350000000000002</v>
      </c>
    </row>
    <row r="5" spans="1:12" x14ac:dyDescent="0.25">
      <c r="A5" s="69"/>
      <c r="B5" s="9" t="s">
        <v>13</v>
      </c>
      <c r="C5" s="6" t="s">
        <v>34</v>
      </c>
      <c r="D5" s="6" t="s">
        <v>35</v>
      </c>
      <c r="E5" s="21">
        <v>105</v>
      </c>
      <c r="F5" s="8">
        <v>24.18</v>
      </c>
      <c r="G5" s="8">
        <f>79*2</f>
        <v>158</v>
      </c>
      <c r="H5" s="8">
        <f>5.32*2</f>
        <v>10.64</v>
      </c>
      <c r="I5" s="8">
        <f>5.97*2</f>
        <v>11.94</v>
      </c>
      <c r="J5" s="10">
        <f>0.95*2</f>
        <v>1.9</v>
      </c>
    </row>
    <row r="6" spans="1:12" x14ac:dyDescent="0.25">
      <c r="A6" s="69"/>
      <c r="B6" s="9" t="s">
        <v>18</v>
      </c>
      <c r="C6" s="6" t="s">
        <v>36</v>
      </c>
      <c r="D6" s="6" t="s">
        <v>37</v>
      </c>
      <c r="E6" s="21">
        <v>200</v>
      </c>
      <c r="F6" s="8">
        <v>8.98</v>
      </c>
      <c r="G6" s="8">
        <v>100.6</v>
      </c>
      <c r="H6" s="8">
        <v>3.17</v>
      </c>
      <c r="I6" s="8">
        <v>2.68</v>
      </c>
      <c r="J6" s="10">
        <v>15.95</v>
      </c>
    </row>
    <row r="7" spans="1:12" x14ac:dyDescent="0.25">
      <c r="A7" s="69"/>
      <c r="B7" s="9" t="s">
        <v>21</v>
      </c>
      <c r="C7" s="6" t="s">
        <v>53</v>
      </c>
      <c r="D7" s="6" t="s">
        <v>54</v>
      </c>
      <c r="E7" s="21">
        <v>50</v>
      </c>
      <c r="F7" s="8">
        <v>8.1999999999999993</v>
      </c>
      <c r="G7" s="8">
        <f>397.2*0.5</f>
        <v>198.6</v>
      </c>
      <c r="H7" s="7">
        <f>8.2*0.5</f>
        <v>4.0999999999999996</v>
      </c>
      <c r="I7" s="7">
        <f>15.4*0.5</f>
        <v>7.7</v>
      </c>
      <c r="J7" s="11">
        <f>56.4*0.5</f>
        <v>28.2</v>
      </c>
    </row>
    <row r="8" spans="1:12" ht="15.75" thickBot="1" x14ac:dyDescent="0.3">
      <c r="A8" s="70"/>
      <c r="B8" s="12" t="s">
        <v>14</v>
      </c>
      <c r="C8" s="13" t="s">
        <v>40</v>
      </c>
      <c r="D8" s="13" t="s">
        <v>41</v>
      </c>
      <c r="E8" s="22">
        <v>25.5</v>
      </c>
      <c r="F8" s="23">
        <v>1.04</v>
      </c>
      <c r="G8" s="23">
        <f>229.7*0.255</f>
        <v>58.573499999999996</v>
      </c>
      <c r="H8" s="14">
        <f>6.7*0.255</f>
        <v>1.7085000000000001</v>
      </c>
      <c r="I8" s="14">
        <f>1.1*0.255</f>
        <v>0.28050000000000003</v>
      </c>
      <c r="J8" s="15">
        <f>48.3*0.255</f>
        <v>12.3165</v>
      </c>
    </row>
    <row r="9" spans="1:12" ht="16.5" thickBot="1" x14ac:dyDescent="0.3">
      <c r="A9" s="77" t="s">
        <v>15</v>
      </c>
      <c r="B9" s="60"/>
      <c r="C9" s="60"/>
      <c r="D9" s="60"/>
      <c r="E9" s="61"/>
      <c r="F9" s="24">
        <f>SUM(F3:F8)</f>
        <v>69.500000000000014</v>
      </c>
      <c r="G9" s="24">
        <f t="shared" ref="G9:J9" si="0">SUM(G3:G8)</f>
        <v>618.37350000000004</v>
      </c>
      <c r="H9" s="24">
        <f t="shared" si="0"/>
        <v>24.914500000000004</v>
      </c>
      <c r="I9" s="24">
        <f t="shared" si="0"/>
        <v>30.125</v>
      </c>
      <c r="J9" s="24">
        <f t="shared" si="0"/>
        <v>61.5015</v>
      </c>
    </row>
    <row r="10" spans="1:12" s="40" customFormat="1" ht="15.75" thickTop="1" x14ac:dyDescent="0.25">
      <c r="A10" s="78" t="s">
        <v>49</v>
      </c>
      <c r="B10" s="25" t="s">
        <v>13</v>
      </c>
      <c r="C10" s="26" t="s">
        <v>34</v>
      </c>
      <c r="D10" s="26" t="s">
        <v>35</v>
      </c>
      <c r="E10" s="18">
        <v>100</v>
      </c>
      <c r="F10" s="19">
        <v>23.03</v>
      </c>
      <c r="G10" s="19">
        <f>79*2/105*100</f>
        <v>150.47619047619048</v>
      </c>
      <c r="H10" s="19">
        <f>5.32*2/105*100</f>
        <v>10.133333333333335</v>
      </c>
      <c r="I10" s="19">
        <f>5.97*2/105*100</f>
        <v>11.371428571428572</v>
      </c>
      <c r="J10" s="20">
        <f>0.95*2/105*100</f>
        <v>1.8095238095238095</v>
      </c>
    </row>
    <row r="11" spans="1:12" s="39" customFormat="1" x14ac:dyDescent="0.25">
      <c r="A11" s="69"/>
      <c r="B11" s="9" t="s">
        <v>18</v>
      </c>
      <c r="C11" s="6" t="s">
        <v>19</v>
      </c>
      <c r="D11" s="6" t="s">
        <v>20</v>
      </c>
      <c r="E11" s="21" t="s">
        <v>46</v>
      </c>
      <c r="F11" s="8">
        <v>3.65</v>
      </c>
      <c r="G11" s="8">
        <v>60</v>
      </c>
      <c r="H11" s="8">
        <v>7.0000000000000007E-2</v>
      </c>
      <c r="I11" s="8">
        <v>0.02</v>
      </c>
      <c r="J11" s="10">
        <v>15</v>
      </c>
    </row>
    <row r="12" spans="1:12" s="39" customFormat="1" ht="15.75" thickBot="1" x14ac:dyDescent="0.3">
      <c r="A12" s="69"/>
      <c r="B12" s="12" t="s">
        <v>14</v>
      </c>
      <c r="C12" s="13" t="s">
        <v>40</v>
      </c>
      <c r="D12" s="13" t="s">
        <v>41</v>
      </c>
      <c r="E12" s="22">
        <v>8</v>
      </c>
      <c r="F12" s="23">
        <v>0.32</v>
      </c>
      <c r="G12" s="23">
        <f>229.7*0.08</f>
        <v>18.376000000000001</v>
      </c>
      <c r="H12" s="14">
        <f>6.7*0.08</f>
        <v>0.53600000000000003</v>
      </c>
      <c r="I12" s="14">
        <f>1.1*0.08</f>
        <v>8.8000000000000009E-2</v>
      </c>
      <c r="J12" s="15">
        <f>48.3*0.08</f>
        <v>3.8639999999999999</v>
      </c>
    </row>
    <row r="13" spans="1:12" ht="16.5" thickBot="1" x14ac:dyDescent="0.3">
      <c r="A13" s="77" t="s">
        <v>15</v>
      </c>
      <c r="B13" s="60"/>
      <c r="C13" s="60"/>
      <c r="D13" s="60"/>
      <c r="E13" s="61"/>
      <c r="F13" s="24">
        <f>SUM(F10:F12)</f>
        <v>27</v>
      </c>
      <c r="G13" s="24">
        <f>SUM(G10:G12)</f>
        <v>228.85219047619049</v>
      </c>
      <c r="H13" s="24">
        <f>SUM(H10:H12)</f>
        <v>10.739333333333335</v>
      </c>
      <c r="I13" s="24">
        <f>SUM(I10:I12)</f>
        <v>11.479428571428571</v>
      </c>
      <c r="J13" s="24">
        <f>SUM(J10:J12)</f>
        <v>20.673523809523811</v>
      </c>
    </row>
    <row r="14" spans="1:12" ht="15.75" thickTop="1" x14ac:dyDescent="0.25">
      <c r="A14" s="78" t="s">
        <v>51</v>
      </c>
      <c r="B14" s="16" t="s">
        <v>32</v>
      </c>
      <c r="C14" s="17" t="s">
        <v>60</v>
      </c>
      <c r="D14" s="17" t="s">
        <v>61</v>
      </c>
      <c r="E14" s="34" t="s">
        <v>65</v>
      </c>
      <c r="F14" s="18">
        <v>3.35</v>
      </c>
      <c r="G14" s="36">
        <f>250*0.15+229.7*0.25</f>
        <v>94.924999999999997</v>
      </c>
      <c r="H14" s="36">
        <f>0.4*0.15+6.7*0.25</f>
        <v>1.7350000000000001</v>
      </c>
      <c r="I14" s="36">
        <f>0+1.1*0.25</f>
        <v>0.27500000000000002</v>
      </c>
      <c r="J14" s="37">
        <f>65*0.15+48.3*0.25</f>
        <v>21.824999999999999</v>
      </c>
    </row>
    <row r="15" spans="1:12" ht="15.75" thickBot="1" x14ac:dyDescent="0.3">
      <c r="A15" s="69"/>
      <c r="B15" s="12" t="s">
        <v>18</v>
      </c>
      <c r="C15" s="13" t="s">
        <v>19</v>
      </c>
      <c r="D15" s="13" t="s">
        <v>20</v>
      </c>
      <c r="E15" s="22" t="s">
        <v>46</v>
      </c>
      <c r="F15" s="23">
        <v>3.65</v>
      </c>
      <c r="G15" s="23">
        <v>60</v>
      </c>
      <c r="H15" s="23">
        <v>7.0000000000000007E-2</v>
      </c>
      <c r="I15" s="23">
        <v>0.02</v>
      </c>
      <c r="J15" s="27">
        <v>15</v>
      </c>
    </row>
    <row r="16" spans="1:12" ht="16.5" thickBot="1" x14ac:dyDescent="0.3">
      <c r="A16" s="77" t="s">
        <v>15</v>
      </c>
      <c r="B16" s="60"/>
      <c r="C16" s="60"/>
      <c r="D16" s="60"/>
      <c r="E16" s="61"/>
      <c r="F16" s="24">
        <f>SUM(F14:F15)</f>
        <v>7</v>
      </c>
      <c r="G16" s="24">
        <f t="shared" ref="G16:J16" si="1">SUM(G14:G15)</f>
        <v>154.92500000000001</v>
      </c>
      <c r="H16" s="24">
        <f t="shared" si="1"/>
        <v>1.8050000000000002</v>
      </c>
      <c r="I16" s="24">
        <f t="shared" si="1"/>
        <v>0.29500000000000004</v>
      </c>
      <c r="J16" s="24">
        <f t="shared" si="1"/>
        <v>36.825000000000003</v>
      </c>
    </row>
    <row r="17" spans="1:10" x14ac:dyDescent="0.25">
      <c r="A17" s="62" t="s">
        <v>50</v>
      </c>
      <c r="B17" s="25" t="s">
        <v>16</v>
      </c>
      <c r="C17" s="26" t="s">
        <v>57</v>
      </c>
      <c r="D17" s="26" t="s">
        <v>58</v>
      </c>
      <c r="E17" s="18" t="s">
        <v>59</v>
      </c>
      <c r="F17" s="19">
        <v>11.74</v>
      </c>
      <c r="G17" s="19">
        <v>148.25</v>
      </c>
      <c r="H17" s="19">
        <v>5.49</v>
      </c>
      <c r="I17" s="19">
        <v>5.27</v>
      </c>
      <c r="J17" s="20">
        <v>16.54</v>
      </c>
    </row>
    <row r="18" spans="1:10" x14ac:dyDescent="0.25">
      <c r="A18" s="63"/>
      <c r="B18" s="9" t="s">
        <v>13</v>
      </c>
      <c r="C18" s="6" t="s">
        <v>42</v>
      </c>
      <c r="D18" s="6" t="s">
        <v>43</v>
      </c>
      <c r="E18" s="21">
        <v>43</v>
      </c>
      <c r="F18" s="8">
        <v>19.21</v>
      </c>
      <c r="G18" s="8">
        <f>161/50*43</f>
        <v>138.46</v>
      </c>
      <c r="H18" s="8">
        <f>7.61/50*43</f>
        <v>6.5446</v>
      </c>
      <c r="I18" s="8">
        <f>11/50*43</f>
        <v>9.4600000000000009</v>
      </c>
      <c r="J18" s="10">
        <f>7.66/50*43</f>
        <v>6.5876000000000001</v>
      </c>
    </row>
    <row r="19" spans="1:10" x14ac:dyDescent="0.25">
      <c r="A19" s="63"/>
      <c r="B19" s="9" t="s">
        <v>17</v>
      </c>
      <c r="C19" s="6" t="s">
        <v>44</v>
      </c>
      <c r="D19" s="6" t="s">
        <v>45</v>
      </c>
      <c r="E19" s="21">
        <v>120</v>
      </c>
      <c r="F19" s="8">
        <v>9.25</v>
      </c>
      <c r="G19" s="8">
        <f>1398*0.12</f>
        <v>167.76</v>
      </c>
      <c r="H19" s="8">
        <f>24.34*0.12</f>
        <v>2.9207999999999998</v>
      </c>
      <c r="I19" s="8">
        <f>35.83*0.12</f>
        <v>4.2995999999999999</v>
      </c>
      <c r="J19" s="10">
        <f>244.56*0.12</f>
        <v>29.347200000000001</v>
      </c>
    </row>
    <row r="20" spans="1:10" x14ac:dyDescent="0.25">
      <c r="A20" s="63"/>
      <c r="B20" s="9" t="s">
        <v>18</v>
      </c>
      <c r="C20" s="6" t="s">
        <v>19</v>
      </c>
      <c r="D20" s="6" t="s">
        <v>20</v>
      </c>
      <c r="E20" s="21" t="s">
        <v>46</v>
      </c>
      <c r="F20" s="8">
        <v>3.65</v>
      </c>
      <c r="G20" s="8">
        <v>60</v>
      </c>
      <c r="H20" s="8">
        <v>7.0000000000000007E-2</v>
      </c>
      <c r="I20" s="8">
        <v>0.02</v>
      </c>
      <c r="J20" s="10">
        <v>15</v>
      </c>
    </row>
    <row r="21" spans="1:10" ht="15.75" thickBot="1" x14ac:dyDescent="0.3">
      <c r="A21" s="63"/>
      <c r="B21" s="28" t="s">
        <v>14</v>
      </c>
      <c r="C21" s="29" t="s">
        <v>40</v>
      </c>
      <c r="D21" s="29" t="s">
        <v>41</v>
      </c>
      <c r="E21" s="30">
        <v>28</v>
      </c>
      <c r="F21" s="31">
        <v>1.1499999999999999</v>
      </c>
      <c r="G21" s="31">
        <f>229.7*0.28</f>
        <v>64.316000000000003</v>
      </c>
      <c r="H21" s="32">
        <f>6.7*0.28</f>
        <v>1.8760000000000003</v>
      </c>
      <c r="I21" s="32">
        <f>1.1*0.28</f>
        <v>0.30800000000000005</v>
      </c>
      <c r="J21" s="33">
        <f>48.3*0.28</f>
        <v>13.524000000000001</v>
      </c>
    </row>
    <row r="22" spans="1:10" ht="16.5" thickBot="1" x14ac:dyDescent="0.3">
      <c r="A22" s="64" t="s">
        <v>15</v>
      </c>
      <c r="B22" s="65"/>
      <c r="C22" s="65"/>
      <c r="D22" s="65"/>
      <c r="E22" s="66"/>
      <c r="F22" s="48">
        <f>SUM(F17:F21)</f>
        <v>45</v>
      </c>
      <c r="G22" s="48">
        <f t="shared" ref="G22:J22" si="2">SUM(G17:G21)</f>
        <v>578.78600000000006</v>
      </c>
      <c r="H22" s="48">
        <f t="shared" si="2"/>
        <v>16.901400000000002</v>
      </c>
      <c r="I22" s="48">
        <f t="shared" si="2"/>
        <v>19.357600000000001</v>
      </c>
      <c r="J22" s="48">
        <f t="shared" si="2"/>
        <v>80.998800000000003</v>
      </c>
    </row>
    <row r="23" spans="1:10" x14ac:dyDescent="0.25">
      <c r="A23" s="63" t="s">
        <v>52</v>
      </c>
      <c r="B23" s="25" t="s">
        <v>16</v>
      </c>
      <c r="C23" s="26" t="s">
        <v>57</v>
      </c>
      <c r="D23" s="26" t="s">
        <v>58</v>
      </c>
      <c r="E23" s="18" t="s">
        <v>59</v>
      </c>
      <c r="F23" s="19">
        <v>11.74</v>
      </c>
      <c r="G23" s="19">
        <v>148.25</v>
      </c>
      <c r="H23" s="19">
        <v>5.49</v>
      </c>
      <c r="I23" s="19">
        <v>5.27</v>
      </c>
      <c r="J23" s="20">
        <v>16.54</v>
      </c>
    </row>
    <row r="24" spans="1:10" x14ac:dyDescent="0.25">
      <c r="A24" s="63"/>
      <c r="B24" s="9" t="s">
        <v>13</v>
      </c>
      <c r="C24" s="6" t="s">
        <v>42</v>
      </c>
      <c r="D24" s="6" t="s">
        <v>43</v>
      </c>
      <c r="E24" s="21">
        <v>75</v>
      </c>
      <c r="F24" s="8">
        <v>33.51</v>
      </c>
      <c r="G24" s="8">
        <f>161/50*75</f>
        <v>241.50000000000003</v>
      </c>
      <c r="H24" s="8">
        <f>7.61/50*75</f>
        <v>11.415000000000001</v>
      </c>
      <c r="I24" s="8">
        <f>11.07/50*75</f>
        <v>16.605</v>
      </c>
      <c r="J24" s="10">
        <f>7.66/50*75</f>
        <v>11.49</v>
      </c>
    </row>
    <row r="25" spans="1:10" x14ac:dyDescent="0.25">
      <c r="A25" s="63"/>
      <c r="B25" s="9" t="s">
        <v>17</v>
      </c>
      <c r="C25" s="6" t="s">
        <v>44</v>
      </c>
      <c r="D25" s="6" t="s">
        <v>45</v>
      </c>
      <c r="E25" s="21">
        <v>120</v>
      </c>
      <c r="F25" s="8">
        <v>9.25</v>
      </c>
      <c r="G25" s="8">
        <f>1398*0.12</f>
        <v>167.76</v>
      </c>
      <c r="H25" s="8">
        <f>24.34*0.12</f>
        <v>2.9207999999999998</v>
      </c>
      <c r="I25" s="8">
        <f>35.83*0.12</f>
        <v>4.2995999999999999</v>
      </c>
      <c r="J25" s="10">
        <f>244.56*0.12</f>
        <v>29.347200000000001</v>
      </c>
    </row>
    <row r="26" spans="1:10" x14ac:dyDescent="0.25">
      <c r="A26" s="63"/>
      <c r="B26" s="9" t="s">
        <v>18</v>
      </c>
      <c r="C26" s="6" t="s">
        <v>19</v>
      </c>
      <c r="D26" s="6" t="s">
        <v>20</v>
      </c>
      <c r="E26" s="21" t="s">
        <v>46</v>
      </c>
      <c r="F26" s="8">
        <v>3.65</v>
      </c>
      <c r="G26" s="8">
        <v>60</v>
      </c>
      <c r="H26" s="8">
        <v>7.0000000000000007E-2</v>
      </c>
      <c r="I26" s="8">
        <v>0.02</v>
      </c>
      <c r="J26" s="10">
        <v>15</v>
      </c>
    </row>
    <row r="27" spans="1:10" s="46" customFormat="1" x14ac:dyDescent="0.25">
      <c r="A27" s="63"/>
      <c r="B27" s="9" t="s">
        <v>14</v>
      </c>
      <c r="C27" s="6" t="s">
        <v>40</v>
      </c>
      <c r="D27" s="6" t="s">
        <v>41</v>
      </c>
      <c r="E27" s="21">
        <v>39</v>
      </c>
      <c r="F27" s="8">
        <v>1.59</v>
      </c>
      <c r="G27" s="8">
        <f>229.7*0.39</f>
        <v>89.582999999999998</v>
      </c>
      <c r="H27" s="7">
        <f>6.7*0.39</f>
        <v>2.613</v>
      </c>
      <c r="I27" s="7">
        <f>1.1*0.39</f>
        <v>0.42900000000000005</v>
      </c>
      <c r="J27" s="11">
        <f>48.3*0.39</f>
        <v>18.837</v>
      </c>
    </row>
    <row r="28" spans="1:10" s="49" customFormat="1" ht="15.75" thickBot="1" x14ac:dyDescent="0.3">
      <c r="A28" s="63"/>
      <c r="B28" s="12" t="s">
        <v>22</v>
      </c>
      <c r="C28" s="13" t="s">
        <v>47</v>
      </c>
      <c r="D28" s="13" t="s">
        <v>64</v>
      </c>
      <c r="E28" s="22">
        <v>50</v>
      </c>
      <c r="F28" s="23">
        <v>9.76</v>
      </c>
      <c r="G28" s="23">
        <f>43*0.5</f>
        <v>21.5</v>
      </c>
      <c r="H28" s="23">
        <f>0.9*0.5</f>
        <v>0.45</v>
      </c>
      <c r="I28" s="23">
        <f>0.2*0.5</f>
        <v>0.1</v>
      </c>
      <c r="J28" s="27">
        <f>8.1*0.5</f>
        <v>4.05</v>
      </c>
    </row>
    <row r="29" spans="1:10" ht="16.5" thickBot="1" x14ac:dyDescent="0.3">
      <c r="A29" s="64" t="s">
        <v>15</v>
      </c>
      <c r="B29" s="79"/>
      <c r="C29" s="79"/>
      <c r="D29" s="79"/>
      <c r="E29" s="80"/>
      <c r="F29" s="50">
        <f>SUM(F23:F28)</f>
        <v>69.5</v>
      </c>
      <c r="G29" s="50">
        <f>SUM(G23:G28)</f>
        <v>728.59299999999996</v>
      </c>
      <c r="H29" s="50">
        <f>SUM(H23:H28)</f>
        <v>22.9588</v>
      </c>
      <c r="I29" s="50">
        <f>SUM(I23:I28)</f>
        <v>26.723599999999998</v>
      </c>
      <c r="J29" s="50">
        <f>SUM(J23:J28)</f>
        <v>95.264200000000002</v>
      </c>
    </row>
    <row r="31" spans="1:10" ht="15.75" thickBot="1" x14ac:dyDescent="0.3">
      <c r="A31" s="57" t="s">
        <v>26</v>
      </c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15.75" x14ac:dyDescent="0.25">
      <c r="A32" s="35"/>
      <c r="B32" s="35"/>
      <c r="C32" s="56" t="s">
        <v>24</v>
      </c>
      <c r="D32" s="56"/>
      <c r="G32" s="58"/>
      <c r="H32" s="58"/>
      <c r="I32" s="58"/>
      <c r="J32" s="58"/>
    </row>
    <row r="33" spans="1:4" x14ac:dyDescent="0.25">
      <c r="A33" s="1"/>
      <c r="B33" s="1"/>
      <c r="C33" s="1"/>
      <c r="D33" s="1"/>
    </row>
    <row r="34" spans="1:4" x14ac:dyDescent="0.25">
      <c r="A34" s="71" t="s">
        <v>25</v>
      </c>
      <c r="B34" s="71"/>
    </row>
    <row r="35" spans="1:4" x14ac:dyDescent="0.25">
      <c r="A35" s="71" t="s">
        <v>27</v>
      </c>
      <c r="B35" s="71"/>
    </row>
    <row r="36" spans="1:4" x14ac:dyDescent="0.25">
      <c r="A36" s="4"/>
    </row>
  </sheetData>
  <mergeCells count="17">
    <mergeCell ref="A34:B34"/>
    <mergeCell ref="A35:B35"/>
    <mergeCell ref="A10:A12"/>
    <mergeCell ref="A13:E13"/>
    <mergeCell ref="A14:A15"/>
    <mergeCell ref="A16:E16"/>
    <mergeCell ref="A23:A28"/>
    <mergeCell ref="A29:E29"/>
    <mergeCell ref="A31:J31"/>
    <mergeCell ref="C32:D32"/>
    <mergeCell ref="G32:J32"/>
    <mergeCell ref="A22:E22"/>
    <mergeCell ref="B1:C1"/>
    <mergeCell ref="G1:J1"/>
    <mergeCell ref="A3:A8"/>
    <mergeCell ref="A9:E9"/>
    <mergeCell ref="A17:A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11.04 1-4 кл</vt:lpstr>
      <vt:lpstr>11.04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2022-04-08T11:36:37Z</dcterms:modified>
</cp:coreProperties>
</file>