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 activeTab="1"/>
  </bookViews>
  <sheets>
    <sheet name="28.04 1-4 кл" sheetId="1" r:id="rId1"/>
    <sheet name="28.04 5-11 кл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I20" i="2"/>
  <c r="H20" i="2"/>
  <c r="G20" i="2"/>
  <c r="J17" i="2"/>
  <c r="I17" i="2"/>
  <c r="H17" i="2"/>
  <c r="G17" i="2"/>
  <c r="J16" i="2"/>
  <c r="I16" i="2"/>
  <c r="H16" i="2"/>
  <c r="G16" i="2"/>
  <c r="J26" i="2"/>
  <c r="I26" i="2"/>
  <c r="H26" i="2"/>
  <c r="G26" i="2"/>
  <c r="J24" i="2"/>
  <c r="I24" i="2"/>
  <c r="H24" i="2"/>
  <c r="G24" i="2"/>
  <c r="J23" i="2"/>
  <c r="I23" i="2"/>
  <c r="H23" i="2"/>
  <c r="G23" i="2"/>
  <c r="J22" i="2"/>
  <c r="I22" i="2"/>
  <c r="H22" i="2"/>
  <c r="G22" i="2"/>
  <c r="J14" i="2"/>
  <c r="I14" i="2"/>
  <c r="H14" i="2"/>
  <c r="G14" i="2"/>
  <c r="J11" i="2"/>
  <c r="I11" i="2"/>
  <c r="H11" i="2"/>
  <c r="G11" i="2"/>
  <c r="J9" i="2"/>
  <c r="I9" i="2"/>
  <c r="H9" i="2"/>
  <c r="G9" i="2"/>
  <c r="J7" i="2"/>
  <c r="I7" i="2"/>
  <c r="H7" i="2"/>
  <c r="G7" i="2"/>
  <c r="J4" i="2"/>
  <c r="I4" i="2"/>
  <c r="H4" i="2"/>
  <c r="G4" i="2"/>
  <c r="J3" i="2"/>
  <c r="I3" i="2"/>
  <c r="H3" i="2"/>
  <c r="G3" i="2"/>
  <c r="J20" i="1"/>
  <c r="I20" i="1"/>
  <c r="H20" i="1"/>
  <c r="G20" i="1"/>
  <c r="J16" i="1" l="1"/>
  <c r="I16" i="1"/>
  <c r="G16" i="1"/>
  <c r="H16" i="1"/>
  <c r="J10" i="1"/>
  <c r="I10" i="1"/>
  <c r="H10" i="1"/>
  <c r="G10" i="1"/>
  <c r="J13" i="1"/>
  <c r="I13" i="1"/>
  <c r="H13" i="1"/>
  <c r="G13" i="1"/>
  <c r="J7" i="1" l="1"/>
  <c r="I7" i="1"/>
  <c r="H7" i="1"/>
  <c r="G7" i="1"/>
  <c r="J3" i="1"/>
  <c r="I3" i="1"/>
  <c r="H3" i="1"/>
  <c r="G3" i="1"/>
  <c r="J23" i="1" l="1"/>
  <c r="I23" i="1"/>
  <c r="H23" i="1"/>
  <c r="G23" i="1"/>
  <c r="J4" i="1" l="1"/>
  <c r="I4" i="1"/>
  <c r="H4" i="1"/>
  <c r="G4" i="1"/>
  <c r="F12" i="2" l="1"/>
  <c r="G27" i="2"/>
  <c r="H27" i="2"/>
  <c r="I27" i="2"/>
  <c r="J27" i="2"/>
  <c r="F27" i="2"/>
  <c r="G21" i="2"/>
  <c r="H21" i="2"/>
  <c r="I21" i="2"/>
  <c r="J21" i="2"/>
  <c r="F21" i="2"/>
  <c r="G24" i="1" l="1"/>
  <c r="H24" i="1"/>
  <c r="I24" i="1"/>
  <c r="J24" i="1"/>
  <c r="F24" i="1"/>
  <c r="J12" i="2"/>
  <c r="I12" i="2"/>
  <c r="H12" i="2"/>
  <c r="G12" i="2"/>
  <c r="J15" i="1" l="1"/>
  <c r="I15" i="1"/>
  <c r="H15" i="1"/>
  <c r="G15" i="1"/>
  <c r="F14" i="1"/>
  <c r="J9" i="1"/>
  <c r="J14" i="1" s="1"/>
  <c r="I9" i="1"/>
  <c r="I14" i="1" s="1"/>
  <c r="H9" i="1"/>
  <c r="H14" i="1" s="1"/>
  <c r="G9" i="1"/>
  <c r="G14" i="1" s="1"/>
  <c r="F8" i="1" l="1"/>
  <c r="G8" i="1"/>
  <c r="J8" i="1"/>
  <c r="I8" i="1"/>
  <c r="H8" i="1"/>
  <c r="G15" i="2" l="1"/>
  <c r="H15" i="2"/>
  <c r="I15" i="2"/>
  <c r="J15" i="2"/>
  <c r="F15" i="2"/>
  <c r="F8" i="2" l="1"/>
  <c r="J8" i="2"/>
  <c r="I8" i="2"/>
  <c r="H8" i="2"/>
  <c r="G8" i="2"/>
  <c r="F21" i="1" l="1"/>
  <c r="J21" i="1" l="1"/>
  <c r="I21" i="1"/>
  <c r="H21" i="1"/>
  <c r="G21" i="1"/>
</calcChain>
</file>

<file path=xl/sharedStrings.xml><?xml version="1.0" encoding="utf-8"?>
<sst xmlns="http://schemas.openxmlformats.org/spreadsheetml/2006/main" count="180" uniqueCount="68">
  <si>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</si>
  <si>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</si>
  <si>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</si>
  <si>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</si>
  <si>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</si>
  <si>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</si>
  <si>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</si>
  <si>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</si>
  <si>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</si>
  <si>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</si>
  <si>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</si>
  <si>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</si>
  <si>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</si>
  <si>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</si>
  <si>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</si>
  <si>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</si>
  <si>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</si>
  <si>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</si>
  <si>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</si>
  <si>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</si>
  <si>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</si>
  <si>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Мучное изделие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</si>
  <si>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</si>
  <si>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</si>
  <si>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</si>
  <si>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</si>
  <si>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</si>
  <si>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Завтрак 1-2 кл и дети-инвалиды 1 смена</t>
  </si>
  <si>
    <t>Полдник дети-инвалиды 3-4 кл 2 смена</t>
  </si>
  <si>
    <t>Батон "Домашний"</t>
  </si>
  <si>
    <t>200/15</t>
  </si>
  <si>
    <t>Завтрак 5-11 кл с доплатой 62,50 руб. и льготники с доплатой 42,50 руб. 1 смена</t>
  </si>
  <si>
    <t>Завтрак льготный 5-11 кл</t>
  </si>
  <si>
    <t xml:space="preserve">Обед дети-инвалиды 5-11 кл 2 смена </t>
  </si>
  <si>
    <t>Завтрак бюджетный 1-я смена и полдник для детей-инвалидов 2-я смена 5-11 кл</t>
  </si>
  <si>
    <t>Обед 6-7 кл.</t>
  </si>
  <si>
    <t>ПР</t>
  </si>
  <si>
    <t>Пюре картофельное</t>
  </si>
  <si>
    <t>№312-2015г.</t>
  </si>
  <si>
    <t>Напиток</t>
  </si>
  <si>
    <t>№102-2015г.</t>
  </si>
  <si>
    <t>Суп картофельный с горохом с зеленью</t>
  </si>
  <si>
    <t>№260-2015г.</t>
  </si>
  <si>
    <t>Обед 3-4 кл дети-инвалиды 2 смена, ГПД</t>
  </si>
  <si>
    <t>ТТК №5</t>
  </si>
  <si>
    <t xml:space="preserve">Обед 1-2 кл дети-инвалиды 1 смена </t>
  </si>
  <si>
    <t>250/2</t>
  </si>
  <si>
    <t>Молочный коктейль "Авишка" 2,5 %</t>
  </si>
  <si>
    <t>ТТК №16</t>
  </si>
  <si>
    <t>Филе минтая запечёное</t>
  </si>
  <si>
    <t>№425-2015г.</t>
  </si>
  <si>
    <t>Булочка дорожная</t>
  </si>
  <si>
    <t>Кондитерское изделие</t>
  </si>
  <si>
    <t>№422-2015г.</t>
  </si>
  <si>
    <t>Булочка ванильная</t>
  </si>
  <si>
    <t>Печенье "Молочное"</t>
  </si>
  <si>
    <t>Напиток (сладкое блюдо)</t>
  </si>
  <si>
    <t>№342-2015г.</t>
  </si>
  <si>
    <t>Компот из свежих яблок</t>
  </si>
  <si>
    <t>18/18</t>
  </si>
  <si>
    <t>№302-2015г.</t>
  </si>
  <si>
    <t>Каша рассыпчатая гречневая</t>
  </si>
  <si>
    <t>Гуляш из свинины</t>
  </si>
  <si>
    <t>40/40</t>
  </si>
  <si>
    <t>№379-2015г.</t>
  </si>
  <si>
    <t>Кофейный напиток с молоком</t>
  </si>
  <si>
    <t>Печенье "Курабье"</t>
  </si>
  <si>
    <t>35/35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</si>
</sst>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3" fillId="0" borderId="0" xfId="0" applyFont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2" fontId="1" fillId="0" borderId="3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2" fontId="1" fillId="0" borderId="11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2" fontId="1" fillId="0" borderId="13" xfId="0" applyNumberFormat="1" applyFont="1" applyBorder="1" applyAlignment="1">
      <alignment vertical="center" wrapText="1"/>
    </xf>
    <xf numFmtId="2" fontId="1" fillId="0" borderId="14" xfId="0" applyNumberFormat="1" applyFont="1" applyBorder="1" applyAlignment="1">
      <alignment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right" vertical="center" wrapText="1"/>
    </xf>
    <xf numFmtId="2" fontId="1" fillId="0" borderId="8" xfId="0" applyNumberFormat="1" applyFont="1" applyBorder="1" applyAlignment="1">
      <alignment horizontal="right" vertical="center" wrapText="1"/>
    </xf>
    <xf numFmtId="2" fontId="1" fillId="0" borderId="9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2" fontId="1" fillId="0" borderId="13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2" fontId="2" fillId="0" borderId="21" xfId="0" applyNumberFormat="1" applyFont="1" applyBorder="1" applyAlignment="1">
      <alignment vertical="center" wrapText="1"/>
    </xf>
    <xf numFmtId="2" fontId="1" fillId="0" borderId="8" xfId="0" applyNumberFormat="1" applyFont="1" applyBorder="1" applyAlignment="1">
      <alignment vertical="center" wrapText="1"/>
    </xf>
    <xf numFmtId="0" fontId="1" fillId="0" borderId="0" xfId="0" applyFont="1"/>
    <xf numFmtId="0" fontId="1" fillId="0" borderId="4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" fontId="1" fillId="0" borderId="9" xfId="0" applyNumberFormat="1" applyFont="1" applyBorder="1" applyAlignment="1">
      <alignment horizontal="right" vertical="center" wrapText="1"/>
    </xf>
    <xf numFmtId="0" fontId="1" fillId="0" borderId="0" xfId="0" applyFont="1"/>
    <xf numFmtId="4" fontId="5" fillId="0" borderId="3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1" fillId="0" borderId="0" xfId="0" applyFont="1"/>
    <xf numFmtId="0" fontId="1" fillId="0" borderId="0" xfId="0" applyFont="1"/>
    <xf numFmtId="0" fontId="1" fillId="0" borderId="0" xfId="0" applyFont="1"/>
    <xf numFmtId="2" fontId="2" fillId="0" borderId="32" xfId="0" applyNumberFormat="1" applyFont="1" applyBorder="1" applyAlignment="1">
      <alignment vertical="center" wrapText="1"/>
    </xf>
    <xf numFmtId="4" fontId="1" fillId="0" borderId="13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0" fontId="1" fillId="0" borderId="0" xfId="0" applyFont="1"/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2" fillId="0" borderId="34" xfId="0" applyNumberFormat="1" applyFont="1" applyBorder="1" applyAlignment="1">
      <alignment vertical="center" wrapText="1"/>
    </xf>
    <xf numFmtId="0" fontId="1" fillId="0" borderId="0" xfId="0" applyFont="1"/>
    <xf numFmtId="0" fontId="1" fillId="0" borderId="8" xfId="0" applyNumberFormat="1" applyFont="1" applyBorder="1" applyAlignment="1">
      <alignment horizontal="right" vertical="center" wrapText="1"/>
    </xf>
    <xf numFmtId="0" fontId="1" fillId="0" borderId="0" xfId="0" applyFont="1"/>
    <xf numFmtId="0" fontId="1" fillId="0" borderId="0" xfId="0" applyFont="1"/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7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31" xfId="0" applyFont="1" applyBorder="1" applyAlignment="1">
      <alignment horizontal="right" vertical="center" wrapText="1"/>
    </xf>
    <xf numFmtId="0" fontId="2" fillId="0" borderId="34" xfId="0" applyFont="1" applyBorder="1" applyAlignment="1">
      <alignment horizontal="right" vertical="center" wrapText="1"/>
    </xf>
    <xf numFmtId="0" fontId="1" fillId="0" borderId="2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14" fontId="4" fillId="0" borderId="20" xfId="0" applyNumberFormat="1" applyFont="1" applyBorder="1" applyAlignment="1">
      <alignment horizontal="center" vertical="center" wrapText="1"/>
    </xf>
    <xf numFmtId="14" fontId="4" fillId="0" borderId="2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right" vertical="center" wrapText="1"/>
    </xf>
    <xf numFmtId="0" fontId="2" fillId="0" borderId="27" xfId="0" applyFont="1" applyBorder="1" applyAlignment="1">
      <alignment horizontal="right" vertical="center" wrapText="1"/>
    </xf>
    <xf numFmtId="0" fontId="2" fillId="0" borderId="29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activeCell="B9" sqref="B9:J13"/>
    </sheetView>
  </sheetViews>
  <sheetFormatPr defaultRowHeight="15" x14ac:dyDescent="0.25"/>
  <cols>
    <col min="1" max="1" width="22.7109375" style="2" customWidth="1"/>
    <col min="2" max="2" width="25.42578125" style="2" customWidth="1"/>
    <col min="3" max="3" width="12.28515625" style="2" customWidth="1"/>
    <col min="4" max="4" width="48.2851562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64" t="s">
        <v>22</v>
      </c>
      <c r="C1" s="65"/>
      <c r="D1" s="1" t="s">
        <v>1</v>
      </c>
      <c r="E1" s="33"/>
      <c r="F1" s="1" t="s">
        <v>2</v>
      </c>
      <c r="G1" s="66">
        <v>44679</v>
      </c>
      <c r="H1" s="67"/>
      <c r="I1" s="67"/>
      <c r="J1" s="68"/>
      <c r="K1" s="1"/>
      <c r="L1" s="1"/>
    </row>
    <row r="2" spans="1:12" ht="15.75" thickBot="1" x14ac:dyDescent="0.3">
      <c r="A2" s="48" t="s">
        <v>3</v>
      </c>
      <c r="B2" s="4" t="s">
        <v>4</v>
      </c>
      <c r="C2" s="49" t="s">
        <v>5</v>
      </c>
      <c r="D2" s="88" t="s">
        <v>6</v>
      </c>
      <c r="E2" s="88" t="s">
        <v>7</v>
      </c>
      <c r="F2" s="88" t="s">
        <v>8</v>
      </c>
      <c r="G2" s="88" t="s">
        <v>9</v>
      </c>
      <c r="H2" s="88" t="s">
        <v>10</v>
      </c>
      <c r="I2" s="88" t="s">
        <v>11</v>
      </c>
      <c r="J2" s="88" t="s">
        <v>12</v>
      </c>
    </row>
    <row r="3" spans="1:12" s="41" customFormat="1" x14ac:dyDescent="0.25">
      <c r="A3" s="56" t="s">
        <v>27</v>
      </c>
      <c r="B3" s="21" t="s">
        <v>13</v>
      </c>
      <c r="C3" s="13" t="s">
        <v>48</v>
      </c>
      <c r="D3" s="89" t="s">
        <v>49</v>
      </c>
      <c r="E3" s="14">
        <v>50</v>
      </c>
      <c r="F3" s="15">
        <v>34.880000000000003</v>
      </c>
      <c r="G3" s="27">
        <f>71/50*50</f>
        <v>71</v>
      </c>
      <c r="H3" s="27">
        <f>8.8/50*50</f>
        <v>8.8000000000000007</v>
      </c>
      <c r="I3" s="27">
        <f>3.1/50*50</f>
        <v>3.1</v>
      </c>
      <c r="J3" s="28">
        <f>1.9/50*50</f>
        <v>1.9</v>
      </c>
    </row>
    <row r="4" spans="1:12" s="42" customFormat="1" x14ac:dyDescent="0.25">
      <c r="A4" s="56"/>
      <c r="B4" s="7" t="s">
        <v>17</v>
      </c>
      <c r="C4" s="39" t="s">
        <v>38</v>
      </c>
      <c r="D4" s="40" t="s">
        <v>37</v>
      </c>
      <c r="E4" s="17">
        <v>150</v>
      </c>
      <c r="F4" s="6">
        <v>22.58</v>
      </c>
      <c r="G4" s="30">
        <f>915*0.15</f>
        <v>137.25</v>
      </c>
      <c r="H4" s="30">
        <f>20.43*0.15</f>
        <v>3.0644999999999998</v>
      </c>
      <c r="I4" s="30">
        <f>32.01*0.15</f>
        <v>4.8014999999999999</v>
      </c>
      <c r="J4" s="31">
        <f>136.26*0.15</f>
        <v>20.438999999999997</v>
      </c>
      <c r="K4"/>
    </row>
    <row r="5" spans="1:12" s="51" customFormat="1" x14ac:dyDescent="0.25">
      <c r="A5" s="56"/>
      <c r="B5" s="7" t="s">
        <v>56</v>
      </c>
      <c r="C5" s="5" t="s">
        <v>57</v>
      </c>
      <c r="D5" s="5" t="s">
        <v>58</v>
      </c>
      <c r="E5" s="17">
        <v>200</v>
      </c>
      <c r="F5" s="6">
        <v>12.85</v>
      </c>
      <c r="G5" s="6">
        <v>114.6</v>
      </c>
      <c r="H5" s="6">
        <v>0.16</v>
      </c>
      <c r="I5" s="6">
        <v>0.16</v>
      </c>
      <c r="J5" s="8">
        <v>27.88</v>
      </c>
      <c r="K5"/>
    </row>
    <row r="6" spans="1:12" s="47" customFormat="1" x14ac:dyDescent="0.25">
      <c r="A6" s="56"/>
      <c r="B6" s="7" t="s">
        <v>21</v>
      </c>
      <c r="C6" s="5" t="s">
        <v>50</v>
      </c>
      <c r="D6" s="5" t="s">
        <v>51</v>
      </c>
      <c r="E6" s="17">
        <v>50</v>
      </c>
      <c r="F6" s="6">
        <v>4.1399999999999997</v>
      </c>
      <c r="G6" s="32">
        <v>160.5</v>
      </c>
      <c r="H6" s="32">
        <v>3.39</v>
      </c>
      <c r="I6" s="32">
        <v>6.98</v>
      </c>
      <c r="J6" s="37">
        <v>21.07</v>
      </c>
      <c r="K6"/>
    </row>
    <row r="7" spans="1:12" ht="15.75" thickBot="1" x14ac:dyDescent="0.3">
      <c r="A7" s="57"/>
      <c r="B7" s="9" t="s">
        <v>14</v>
      </c>
      <c r="C7" s="10" t="s">
        <v>44</v>
      </c>
      <c r="D7" s="10" t="s">
        <v>29</v>
      </c>
      <c r="E7" s="18">
        <v>6.5</v>
      </c>
      <c r="F7" s="19">
        <v>0.28000000000000003</v>
      </c>
      <c r="G7" s="19">
        <f>229.7*0.065</f>
        <v>14.9305</v>
      </c>
      <c r="H7" s="11">
        <f>6.7*0.065</f>
        <v>0.43550000000000005</v>
      </c>
      <c r="I7" s="11">
        <f>1.1*0.065</f>
        <v>7.1500000000000008E-2</v>
      </c>
      <c r="J7" s="12">
        <f>48.3*0.065</f>
        <v>3.1395</v>
      </c>
      <c r="K7"/>
    </row>
    <row r="8" spans="1:12" ht="16.5" thickBot="1" x14ac:dyDescent="0.3">
      <c r="A8" s="60" t="s">
        <v>15</v>
      </c>
      <c r="B8" s="72"/>
      <c r="C8" s="72"/>
      <c r="D8" s="72"/>
      <c r="E8" s="73"/>
      <c r="F8" s="20">
        <f>SUM(F3:F7)</f>
        <v>74.73</v>
      </c>
      <c r="G8" s="20">
        <f>SUM(G3:G7)</f>
        <v>498.28050000000002</v>
      </c>
      <c r="H8" s="20">
        <f>SUM(H3:H7)</f>
        <v>15.85</v>
      </c>
      <c r="I8" s="20">
        <f>SUM(I3:I7)</f>
        <v>15.113000000000001</v>
      </c>
      <c r="J8" s="20">
        <f>SUM(J3:J7)</f>
        <v>74.428499999999985</v>
      </c>
    </row>
    <row r="9" spans="1:12" s="41" customFormat="1" x14ac:dyDescent="0.25">
      <c r="A9" s="58" t="s">
        <v>45</v>
      </c>
      <c r="B9" s="21" t="s">
        <v>16</v>
      </c>
      <c r="C9" s="22" t="s">
        <v>40</v>
      </c>
      <c r="D9" s="22" t="s">
        <v>41</v>
      </c>
      <c r="E9" s="14" t="s">
        <v>46</v>
      </c>
      <c r="F9" s="15">
        <v>11.94</v>
      </c>
      <c r="G9" s="15">
        <f>593*0.25</f>
        <v>148.25</v>
      </c>
      <c r="H9" s="15">
        <f>21.96*0.25</f>
        <v>5.49</v>
      </c>
      <c r="I9" s="15">
        <f>21.08*0.25</f>
        <v>5.27</v>
      </c>
      <c r="J9" s="16">
        <f>66.14*0.25</f>
        <v>16.535</v>
      </c>
    </row>
    <row r="10" spans="1:12" s="41" customFormat="1" x14ac:dyDescent="0.25">
      <c r="A10" s="59"/>
      <c r="B10" s="7" t="s">
        <v>13</v>
      </c>
      <c r="C10" s="5" t="s">
        <v>42</v>
      </c>
      <c r="D10" s="38" t="s">
        <v>62</v>
      </c>
      <c r="E10" s="17" t="s">
        <v>59</v>
      </c>
      <c r="F10" s="6">
        <v>16.309999999999999</v>
      </c>
      <c r="G10" s="32">
        <f>309*0.36</f>
        <v>111.24</v>
      </c>
      <c r="H10" s="32">
        <f>10.64*0.36</f>
        <v>3.8304</v>
      </c>
      <c r="I10" s="32">
        <f>28.19*0.36</f>
        <v>10.148400000000001</v>
      </c>
      <c r="J10" s="37">
        <f>2.89*0.36</f>
        <v>1.0404</v>
      </c>
      <c r="K10"/>
    </row>
    <row r="11" spans="1:12" s="42" customFormat="1" x14ac:dyDescent="0.25">
      <c r="A11" s="59"/>
      <c r="B11" s="7" t="s">
        <v>17</v>
      </c>
      <c r="C11" s="5" t="s">
        <v>60</v>
      </c>
      <c r="D11" s="5" t="s">
        <v>61</v>
      </c>
      <c r="E11" s="17">
        <v>100</v>
      </c>
      <c r="F11" s="6">
        <v>12.54</v>
      </c>
      <c r="G11" s="30">
        <v>162.5</v>
      </c>
      <c r="H11" s="30">
        <v>5.73</v>
      </c>
      <c r="I11" s="30">
        <v>4.0599999999999996</v>
      </c>
      <c r="J11" s="31">
        <v>25.76</v>
      </c>
    </row>
    <row r="12" spans="1:12" x14ac:dyDescent="0.25">
      <c r="A12" s="59"/>
      <c r="B12" s="7" t="s">
        <v>18</v>
      </c>
      <c r="C12" s="5" t="s">
        <v>19</v>
      </c>
      <c r="D12" s="5" t="s">
        <v>20</v>
      </c>
      <c r="E12" s="17" t="s">
        <v>30</v>
      </c>
      <c r="F12" s="6">
        <v>3.54</v>
      </c>
      <c r="G12" s="6">
        <v>60</v>
      </c>
      <c r="H12" s="6">
        <v>7.0000000000000007E-2</v>
      </c>
      <c r="I12" s="6">
        <v>0.02</v>
      </c>
      <c r="J12" s="8">
        <v>15</v>
      </c>
      <c r="K12"/>
    </row>
    <row r="13" spans="1:12" ht="15.75" thickBot="1" x14ac:dyDescent="0.3">
      <c r="A13" s="59"/>
      <c r="B13" s="9" t="s">
        <v>14</v>
      </c>
      <c r="C13" s="10" t="s">
        <v>44</v>
      </c>
      <c r="D13" s="10" t="s">
        <v>29</v>
      </c>
      <c r="E13" s="18">
        <v>4.5</v>
      </c>
      <c r="F13" s="19">
        <v>0.2</v>
      </c>
      <c r="G13" s="19">
        <f>229.7*0.045</f>
        <v>10.336499999999999</v>
      </c>
      <c r="H13" s="11">
        <f>6.7*0.045</f>
        <v>0.30149999999999999</v>
      </c>
      <c r="I13" s="11">
        <f>1.1*0.045</f>
        <v>4.9500000000000002E-2</v>
      </c>
      <c r="J13" s="12">
        <f>48.3*0.045</f>
        <v>2.1734999999999998</v>
      </c>
    </row>
    <row r="14" spans="1:12" ht="16.5" thickBot="1" x14ac:dyDescent="0.3">
      <c r="A14" s="60" t="s">
        <v>15</v>
      </c>
      <c r="B14" s="72"/>
      <c r="C14" s="72"/>
      <c r="D14" s="72"/>
      <c r="E14" s="73"/>
      <c r="F14" s="20">
        <f>SUM(F9:F13)</f>
        <v>44.53</v>
      </c>
      <c r="G14" s="20">
        <f t="shared" ref="G14:J14" si="0">SUM(G9:G13)</f>
        <v>492.32650000000001</v>
      </c>
      <c r="H14" s="20">
        <f t="shared" si="0"/>
        <v>15.421900000000001</v>
      </c>
      <c r="I14" s="20">
        <f t="shared" si="0"/>
        <v>19.547899999999998</v>
      </c>
      <c r="J14" s="20">
        <f t="shared" si="0"/>
        <v>60.508900000000004</v>
      </c>
    </row>
    <row r="15" spans="1:12" s="42" customFormat="1" x14ac:dyDescent="0.25">
      <c r="A15" s="63" t="s">
        <v>43</v>
      </c>
      <c r="B15" s="21" t="s">
        <v>16</v>
      </c>
      <c r="C15" s="22" t="s">
        <v>40</v>
      </c>
      <c r="D15" s="22" t="s">
        <v>41</v>
      </c>
      <c r="E15" s="14" t="s">
        <v>46</v>
      </c>
      <c r="F15" s="15">
        <v>11.94</v>
      </c>
      <c r="G15" s="15">
        <f>593*0.25</f>
        <v>148.25</v>
      </c>
      <c r="H15" s="15">
        <f>21.96*0.25</f>
        <v>5.49</v>
      </c>
      <c r="I15" s="15">
        <f>21.08*0.25</f>
        <v>5.27</v>
      </c>
      <c r="J15" s="16">
        <f>66.14*0.25</f>
        <v>16.535</v>
      </c>
    </row>
    <row r="16" spans="1:12" s="29" customFormat="1" x14ac:dyDescent="0.25">
      <c r="A16" s="56"/>
      <c r="B16" s="7" t="s">
        <v>13</v>
      </c>
      <c r="C16" s="5" t="s">
        <v>42</v>
      </c>
      <c r="D16" s="39" t="s">
        <v>62</v>
      </c>
      <c r="E16" s="17" t="s">
        <v>63</v>
      </c>
      <c r="F16" s="6">
        <v>36.25</v>
      </c>
      <c r="G16" s="32">
        <f>309*0.8</f>
        <v>247.20000000000002</v>
      </c>
      <c r="H16" s="32">
        <f>10.64*0.8</f>
        <v>8.5120000000000005</v>
      </c>
      <c r="I16" s="32">
        <f>28.19*0.8</f>
        <v>22.552000000000003</v>
      </c>
      <c r="J16" s="37">
        <f>2.89*0.8</f>
        <v>2.3120000000000003</v>
      </c>
      <c r="K16"/>
    </row>
    <row r="17" spans="1:11" s="47" customFormat="1" x14ac:dyDescent="0.25">
      <c r="A17" s="56"/>
      <c r="B17" s="7" t="s">
        <v>17</v>
      </c>
      <c r="C17" s="5" t="s">
        <v>60</v>
      </c>
      <c r="D17" s="5" t="s">
        <v>61</v>
      </c>
      <c r="E17" s="17">
        <v>100</v>
      </c>
      <c r="F17" s="6">
        <v>12.54</v>
      </c>
      <c r="G17" s="30">
        <v>162.5</v>
      </c>
      <c r="H17" s="30">
        <v>5.73</v>
      </c>
      <c r="I17" s="30">
        <v>4.0599999999999996</v>
      </c>
      <c r="J17" s="31">
        <v>25.76</v>
      </c>
    </row>
    <row r="18" spans="1:11" s="43" customFormat="1" x14ac:dyDescent="0.25">
      <c r="A18" s="56"/>
      <c r="B18" s="7" t="s">
        <v>18</v>
      </c>
      <c r="C18" s="5" t="s">
        <v>64</v>
      </c>
      <c r="D18" s="5" t="s">
        <v>65</v>
      </c>
      <c r="E18" s="17">
        <v>200</v>
      </c>
      <c r="F18" s="6">
        <v>8.8699999999999992</v>
      </c>
      <c r="G18" s="6">
        <v>100.6</v>
      </c>
      <c r="H18" s="6">
        <v>3.17</v>
      </c>
      <c r="I18" s="6">
        <v>2.68</v>
      </c>
      <c r="J18" s="8">
        <v>15.95</v>
      </c>
      <c r="K18"/>
    </row>
    <row r="19" spans="1:11" s="54" customFormat="1" x14ac:dyDescent="0.25">
      <c r="A19" s="56"/>
      <c r="B19" s="7" t="s">
        <v>21</v>
      </c>
      <c r="C19" s="5" t="s">
        <v>53</v>
      </c>
      <c r="D19" s="5" t="s">
        <v>54</v>
      </c>
      <c r="E19" s="17">
        <v>50</v>
      </c>
      <c r="F19" s="6">
        <v>4.88</v>
      </c>
      <c r="G19" s="32">
        <v>141.5</v>
      </c>
      <c r="H19" s="32">
        <v>3.95</v>
      </c>
      <c r="I19" s="32">
        <v>4.0599999999999996</v>
      </c>
      <c r="J19" s="37">
        <v>22.24</v>
      </c>
      <c r="K19"/>
    </row>
    <row r="20" spans="1:11" s="41" customFormat="1" ht="15.75" thickBot="1" x14ac:dyDescent="0.3">
      <c r="A20" s="56"/>
      <c r="B20" s="9" t="s">
        <v>14</v>
      </c>
      <c r="C20" s="10" t="s">
        <v>44</v>
      </c>
      <c r="D20" s="10" t="s">
        <v>29</v>
      </c>
      <c r="E20" s="18">
        <v>5.5</v>
      </c>
      <c r="F20" s="19">
        <v>0.25</v>
      </c>
      <c r="G20" s="19">
        <f>229.7*0.055</f>
        <v>12.6335</v>
      </c>
      <c r="H20" s="11">
        <f>6.7*0.055</f>
        <v>0.36849999999999999</v>
      </c>
      <c r="I20" s="11">
        <f>1.1*0.055</f>
        <v>6.0500000000000005E-2</v>
      </c>
      <c r="J20" s="12">
        <f>48.3*0.055</f>
        <v>2.6564999999999999</v>
      </c>
      <c r="K20"/>
    </row>
    <row r="21" spans="1:11" ht="16.5" thickBot="1" x14ac:dyDescent="0.3">
      <c r="A21" s="74" t="s">
        <v>15</v>
      </c>
      <c r="B21" s="72"/>
      <c r="C21" s="72"/>
      <c r="D21" s="72"/>
      <c r="E21" s="73"/>
      <c r="F21" s="20">
        <f>SUM(F15:F20)</f>
        <v>74.72999999999999</v>
      </c>
      <c r="G21" s="20">
        <f>SUM(G15:G20)</f>
        <v>812.68350000000009</v>
      </c>
      <c r="H21" s="20">
        <f>SUM(H15:H20)</f>
        <v>27.220500000000001</v>
      </c>
      <c r="I21" s="20">
        <f>SUM(I15:I20)</f>
        <v>38.682500000000005</v>
      </c>
      <c r="J21" s="20">
        <f>SUM(J15:J20)</f>
        <v>85.453499999999991</v>
      </c>
      <c r="K21"/>
    </row>
    <row r="22" spans="1:11" x14ac:dyDescent="0.25">
      <c r="A22" s="58" t="s">
        <v>28</v>
      </c>
      <c r="B22" s="21" t="s">
        <v>39</v>
      </c>
      <c r="C22" s="22" t="s">
        <v>36</v>
      </c>
      <c r="D22" s="22" t="s">
        <v>47</v>
      </c>
      <c r="E22" s="52">
        <v>200</v>
      </c>
      <c r="F22" s="24">
        <v>37.24</v>
      </c>
      <c r="G22" s="27">
        <v>160</v>
      </c>
      <c r="H22" s="15">
        <v>6.2</v>
      </c>
      <c r="I22" s="15">
        <v>5</v>
      </c>
      <c r="J22" s="16">
        <v>22</v>
      </c>
      <c r="K22"/>
    </row>
    <row r="23" spans="1:11" s="43" customFormat="1" ht="15.75" thickBot="1" x14ac:dyDescent="0.3">
      <c r="A23" s="59"/>
      <c r="B23" s="9" t="s">
        <v>52</v>
      </c>
      <c r="C23" s="10" t="s">
        <v>36</v>
      </c>
      <c r="D23" s="10" t="s">
        <v>55</v>
      </c>
      <c r="E23" s="18">
        <v>28</v>
      </c>
      <c r="F23" s="19">
        <v>7.29</v>
      </c>
      <c r="G23" s="45">
        <f>480*0.28</f>
        <v>134.4</v>
      </c>
      <c r="H23" s="45">
        <f>8.5*0.28</f>
        <v>2.3800000000000003</v>
      </c>
      <c r="I23" s="45">
        <f>18*0.28</f>
        <v>5.0400000000000009</v>
      </c>
      <c r="J23" s="46">
        <f>70*0.28</f>
        <v>19.600000000000001</v>
      </c>
    </row>
    <row r="24" spans="1:11" ht="16.5" thickBot="1" x14ac:dyDescent="0.3">
      <c r="A24" s="60" t="s">
        <v>15</v>
      </c>
      <c r="B24" s="61"/>
      <c r="C24" s="61"/>
      <c r="D24" s="61"/>
      <c r="E24" s="62"/>
      <c r="F24" s="50">
        <f>SUM(F22:F23)</f>
        <v>44.53</v>
      </c>
      <c r="G24" s="50">
        <f>SUM(G22:G23)</f>
        <v>294.39999999999998</v>
      </c>
      <c r="H24" s="50">
        <f>SUM(H22:H23)</f>
        <v>8.58</v>
      </c>
      <c r="I24" s="50">
        <f>SUM(I22:I23)</f>
        <v>10.040000000000001</v>
      </c>
      <c r="J24" s="50">
        <f>SUM(J22:J23)</f>
        <v>41.6</v>
      </c>
      <c r="K24"/>
    </row>
    <row r="26" spans="1:11" ht="15.75" thickBot="1" x14ac:dyDescent="0.3">
      <c r="A26" s="70" t="s">
        <v>25</v>
      </c>
      <c r="B26" s="70"/>
      <c r="C26" s="70"/>
      <c r="D26" s="70"/>
      <c r="E26" s="70"/>
      <c r="F26" s="70"/>
      <c r="G26" s="70"/>
      <c r="H26" s="70"/>
      <c r="I26" s="70"/>
      <c r="J26" s="70"/>
    </row>
    <row r="27" spans="1:11" ht="15.75" x14ac:dyDescent="0.25">
      <c r="A27" s="26"/>
      <c r="B27" s="26"/>
      <c r="C27" s="69" t="s">
        <v>23</v>
      </c>
      <c r="D27" s="69"/>
      <c r="G27" s="71"/>
      <c r="H27" s="71"/>
      <c r="I27" s="71"/>
      <c r="J27" s="71"/>
    </row>
    <row r="28" spans="1:11" x14ac:dyDescent="0.25">
      <c r="A28" s="1"/>
      <c r="B28" s="1"/>
      <c r="C28" s="1"/>
      <c r="D28" s="1"/>
    </row>
    <row r="29" spans="1:11" x14ac:dyDescent="0.25">
      <c r="A29" s="55" t="s">
        <v>24</v>
      </c>
      <c r="B29" s="55"/>
    </row>
    <row r="30" spans="1:11" x14ac:dyDescent="0.25">
      <c r="A30" s="55" t="s">
        <v>26</v>
      </c>
      <c r="B30" s="55"/>
    </row>
    <row r="31" spans="1:11" x14ac:dyDescent="0.25">
      <c r="A31" s="3"/>
    </row>
    <row r="35" customFormat="1" x14ac:dyDescent="0.25"/>
    <row r="36" customFormat="1" x14ac:dyDescent="0.25"/>
    <row r="37" customFormat="1" x14ac:dyDescent="0.25"/>
    <row r="38" customFormat="1" x14ac:dyDescent="0.25"/>
  </sheetData>
  <mergeCells count="15">
    <mergeCell ref="B1:C1"/>
    <mergeCell ref="G1:J1"/>
    <mergeCell ref="C27:D27"/>
    <mergeCell ref="A26:J26"/>
    <mergeCell ref="G27:J27"/>
    <mergeCell ref="A8:E8"/>
    <mergeCell ref="A9:A13"/>
    <mergeCell ref="A14:E14"/>
    <mergeCell ref="A21:E21"/>
    <mergeCell ref="A29:B29"/>
    <mergeCell ref="A30:B30"/>
    <mergeCell ref="A3:A7"/>
    <mergeCell ref="A22:A23"/>
    <mergeCell ref="A24:E24"/>
    <mergeCell ref="A15:A20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topLeftCell="A13" workbookViewId="0">
      <selection activeCell="J20" sqref="J20"/>
    </sheetView>
  </sheetViews>
  <sheetFormatPr defaultRowHeight="15" x14ac:dyDescent="0.25"/>
  <cols>
    <col min="1" max="1" width="25" style="2" customWidth="1"/>
    <col min="2" max="2" width="24.7109375" style="2" customWidth="1"/>
    <col min="3" max="3" width="12.28515625" style="2" customWidth="1"/>
    <col min="4" max="4" width="46.2851562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81" t="s">
        <v>22</v>
      </c>
      <c r="C1" s="82"/>
      <c r="D1" s="1" t="s">
        <v>1</v>
      </c>
      <c r="E1" s="33"/>
      <c r="F1" s="1" t="s">
        <v>2</v>
      </c>
      <c r="G1" s="66">
        <v>44679</v>
      </c>
      <c r="H1" s="67"/>
      <c r="I1" s="67"/>
      <c r="J1" s="68"/>
      <c r="K1" s="1"/>
      <c r="L1" s="1"/>
    </row>
    <row r="2" spans="1:12" ht="15.75" thickBot="1" x14ac:dyDescent="0.3">
      <c r="A2" s="48" t="s">
        <v>3</v>
      </c>
      <c r="B2" s="34" t="s">
        <v>4</v>
      </c>
      <c r="C2" s="35" t="s">
        <v>5</v>
      </c>
      <c r="D2" s="35" t="s">
        <v>6</v>
      </c>
      <c r="E2" s="35" t="s">
        <v>7</v>
      </c>
      <c r="F2" s="35" t="s">
        <v>8</v>
      </c>
      <c r="G2" s="35" t="s">
        <v>9</v>
      </c>
      <c r="H2" s="35" t="s">
        <v>10</v>
      </c>
      <c r="I2" s="35" t="s">
        <v>11</v>
      </c>
      <c r="J2" s="36" t="s">
        <v>12</v>
      </c>
    </row>
    <row r="3" spans="1:12" s="41" customFormat="1" x14ac:dyDescent="0.25">
      <c r="A3" s="75" t="s">
        <v>31</v>
      </c>
      <c r="B3" s="7" t="s">
        <v>13</v>
      </c>
      <c r="C3" s="39" t="s">
        <v>48</v>
      </c>
      <c r="D3" s="38" t="s">
        <v>49</v>
      </c>
      <c r="E3" s="17">
        <v>45</v>
      </c>
      <c r="F3" s="6">
        <v>31.39</v>
      </c>
      <c r="G3" s="32">
        <f>71/50*45</f>
        <v>63.9</v>
      </c>
      <c r="H3" s="32">
        <f>8.8/50*45</f>
        <v>7.9200000000000008</v>
      </c>
      <c r="I3" s="32">
        <f>3.1/50*45</f>
        <v>2.79</v>
      </c>
      <c r="J3" s="32">
        <f>1.9/50*45</f>
        <v>1.71</v>
      </c>
    </row>
    <row r="4" spans="1:12" s="53" customFormat="1" x14ac:dyDescent="0.25">
      <c r="A4" s="75"/>
      <c r="B4" s="7" t="s">
        <v>17</v>
      </c>
      <c r="C4" s="39" t="s">
        <v>38</v>
      </c>
      <c r="D4" s="40" t="s">
        <v>37</v>
      </c>
      <c r="E4" s="17">
        <v>130</v>
      </c>
      <c r="F4" s="6">
        <v>19.57</v>
      </c>
      <c r="G4" s="30">
        <f>915*0.13</f>
        <v>118.95</v>
      </c>
      <c r="H4" s="30">
        <f>20.43*0.13</f>
        <v>2.6558999999999999</v>
      </c>
      <c r="I4" s="30">
        <f>32.01*0.13</f>
        <v>4.1612999999999998</v>
      </c>
      <c r="J4" s="31">
        <f>136.26*0.13</f>
        <v>17.713799999999999</v>
      </c>
    </row>
    <row r="5" spans="1:12" s="41" customFormat="1" x14ac:dyDescent="0.25">
      <c r="A5" s="75"/>
      <c r="B5" s="7" t="s">
        <v>56</v>
      </c>
      <c r="C5" s="5" t="s">
        <v>57</v>
      </c>
      <c r="D5" s="5" t="s">
        <v>58</v>
      </c>
      <c r="E5" s="17">
        <v>200</v>
      </c>
      <c r="F5" s="6">
        <v>12.85</v>
      </c>
      <c r="G5" s="6">
        <v>114.6</v>
      </c>
      <c r="H5" s="6">
        <v>0.16</v>
      </c>
      <c r="I5" s="6">
        <v>0.16</v>
      </c>
      <c r="J5" s="8">
        <v>27.88</v>
      </c>
    </row>
    <row r="6" spans="1:12" s="41" customFormat="1" x14ac:dyDescent="0.25">
      <c r="A6" s="75"/>
      <c r="B6" s="7" t="s">
        <v>21</v>
      </c>
      <c r="C6" s="5" t="s">
        <v>50</v>
      </c>
      <c r="D6" s="5" t="s">
        <v>51</v>
      </c>
      <c r="E6" s="17">
        <v>50</v>
      </c>
      <c r="F6" s="6">
        <v>4.1399999999999997</v>
      </c>
      <c r="G6" s="32">
        <v>160.5</v>
      </c>
      <c r="H6" s="32">
        <v>3.39</v>
      </c>
      <c r="I6" s="32">
        <v>6.98</v>
      </c>
      <c r="J6" s="37">
        <v>21.07</v>
      </c>
    </row>
    <row r="7" spans="1:12" ht="15.75" thickBot="1" x14ac:dyDescent="0.3">
      <c r="A7" s="75"/>
      <c r="B7" s="9" t="s">
        <v>14</v>
      </c>
      <c r="C7" s="10" t="s">
        <v>44</v>
      </c>
      <c r="D7" s="10" t="s">
        <v>29</v>
      </c>
      <c r="E7" s="18">
        <v>35</v>
      </c>
      <c r="F7" s="19">
        <v>1.55</v>
      </c>
      <c r="G7" s="19">
        <f>229.7*0.35</f>
        <v>80.394999999999996</v>
      </c>
      <c r="H7" s="11">
        <f>6.7*0.35</f>
        <v>2.3449999999999998</v>
      </c>
      <c r="I7" s="11">
        <f>1.1*0.35</f>
        <v>0.38500000000000001</v>
      </c>
      <c r="J7" s="12">
        <f>48.3*0.35</f>
        <v>16.904999999999998</v>
      </c>
    </row>
    <row r="8" spans="1:12" ht="16.5" thickBot="1" x14ac:dyDescent="0.3">
      <c r="A8" s="60" t="s">
        <v>15</v>
      </c>
      <c r="B8" s="79"/>
      <c r="C8" s="79"/>
      <c r="D8" s="79"/>
      <c r="E8" s="83"/>
      <c r="F8" s="20">
        <f>SUM(F3:F7)</f>
        <v>69.5</v>
      </c>
      <c r="G8" s="20">
        <f>SUM(G3:G7)</f>
        <v>538.34500000000003</v>
      </c>
      <c r="H8" s="20">
        <f>SUM(H3:H7)</f>
        <v>16.4709</v>
      </c>
      <c r="I8" s="20">
        <f>SUM(I3:I7)</f>
        <v>14.4763</v>
      </c>
      <c r="J8" s="20">
        <f>SUM(J3:J7)</f>
        <v>85.27879999999999</v>
      </c>
    </row>
    <row r="9" spans="1:12" s="43" customFormat="1" x14ac:dyDescent="0.25">
      <c r="A9" s="63" t="s">
        <v>32</v>
      </c>
      <c r="B9" s="7" t="s">
        <v>17</v>
      </c>
      <c r="C9" s="39" t="s">
        <v>38</v>
      </c>
      <c r="D9" s="40" t="s">
        <v>37</v>
      </c>
      <c r="E9" s="17">
        <v>150</v>
      </c>
      <c r="F9" s="6">
        <v>22.58</v>
      </c>
      <c r="G9" s="30">
        <f>915*0.15</f>
        <v>137.25</v>
      </c>
      <c r="H9" s="30">
        <f>20.43*0.15</f>
        <v>3.0644999999999998</v>
      </c>
      <c r="I9" s="30">
        <f>32.01*0.15</f>
        <v>4.8014999999999999</v>
      </c>
      <c r="J9" s="31">
        <f>136.26*0.15</f>
        <v>20.438999999999997</v>
      </c>
    </row>
    <row r="10" spans="1:12" s="47" customFormat="1" x14ac:dyDescent="0.25">
      <c r="A10" s="56"/>
      <c r="B10" s="7" t="s">
        <v>18</v>
      </c>
      <c r="C10" s="5" t="s">
        <v>19</v>
      </c>
      <c r="D10" s="5" t="s">
        <v>20</v>
      </c>
      <c r="E10" s="17" t="s">
        <v>30</v>
      </c>
      <c r="F10" s="6">
        <v>3.54</v>
      </c>
      <c r="G10" s="6">
        <v>60</v>
      </c>
      <c r="H10" s="6">
        <v>7.0000000000000007E-2</v>
      </c>
      <c r="I10" s="6">
        <v>0.02</v>
      </c>
      <c r="J10" s="8">
        <v>15</v>
      </c>
    </row>
    <row r="11" spans="1:12" s="25" customFormat="1" ht="15.75" thickBot="1" x14ac:dyDescent="0.3">
      <c r="A11" s="84"/>
      <c r="B11" s="9" t="s">
        <v>14</v>
      </c>
      <c r="C11" s="10" t="s">
        <v>44</v>
      </c>
      <c r="D11" s="10" t="s">
        <v>29</v>
      </c>
      <c r="E11" s="18">
        <v>20</v>
      </c>
      <c r="F11" s="19">
        <v>0.88</v>
      </c>
      <c r="G11" s="19">
        <f>229.7*0.2</f>
        <v>45.94</v>
      </c>
      <c r="H11" s="11">
        <f>6.7*0.2</f>
        <v>1.34</v>
      </c>
      <c r="I11" s="11">
        <f>1.1*0.2</f>
        <v>0.22000000000000003</v>
      </c>
      <c r="J11" s="12">
        <f>48.3*0.2</f>
        <v>9.66</v>
      </c>
    </row>
    <row r="12" spans="1:12" ht="16.5" thickBot="1" x14ac:dyDescent="0.3">
      <c r="A12" s="85" t="s">
        <v>15</v>
      </c>
      <c r="B12" s="86"/>
      <c r="C12" s="86"/>
      <c r="D12" s="86"/>
      <c r="E12" s="87"/>
      <c r="F12" s="44">
        <f>SUM(F9:F11)</f>
        <v>26.999999999999996</v>
      </c>
      <c r="G12" s="44">
        <f>SUM(G9:G11)</f>
        <v>243.19</v>
      </c>
      <c r="H12" s="44">
        <f>SUM(H9:H11)</f>
        <v>4.4744999999999999</v>
      </c>
      <c r="I12" s="44">
        <f>SUM(I9:I11)</f>
        <v>5.0414999999999992</v>
      </c>
      <c r="J12" s="44">
        <f>SUM(J9:J11)</f>
        <v>45.09899999999999</v>
      </c>
      <c r="K12" s="47"/>
      <c r="L12" s="47"/>
    </row>
    <row r="13" spans="1:12" s="47" customFormat="1" x14ac:dyDescent="0.25">
      <c r="A13" s="76" t="s">
        <v>34</v>
      </c>
      <c r="B13" s="21" t="s">
        <v>18</v>
      </c>
      <c r="C13" s="22" t="s">
        <v>19</v>
      </c>
      <c r="D13" s="22" t="s">
        <v>20</v>
      </c>
      <c r="E13" s="14" t="s">
        <v>30</v>
      </c>
      <c r="F13" s="15">
        <v>3.54</v>
      </c>
      <c r="G13" s="15">
        <v>60</v>
      </c>
      <c r="H13" s="15">
        <v>7.0000000000000007E-2</v>
      </c>
      <c r="I13" s="15">
        <v>0.02</v>
      </c>
      <c r="J13" s="16">
        <v>15</v>
      </c>
    </row>
    <row r="14" spans="1:12" ht="15.75" thickBot="1" x14ac:dyDescent="0.3">
      <c r="A14" s="77"/>
      <c r="B14" s="9" t="s">
        <v>52</v>
      </c>
      <c r="C14" s="10" t="s">
        <v>36</v>
      </c>
      <c r="D14" s="10" t="s">
        <v>66</v>
      </c>
      <c r="E14" s="18">
        <v>16</v>
      </c>
      <c r="F14" s="19">
        <v>3.46</v>
      </c>
      <c r="G14" s="45">
        <f>480*0.16</f>
        <v>76.8</v>
      </c>
      <c r="H14" s="45">
        <f>8.5*0.16</f>
        <v>1.36</v>
      </c>
      <c r="I14" s="45">
        <f>18*0.16</f>
        <v>2.88</v>
      </c>
      <c r="J14" s="46">
        <f>70*0.16</f>
        <v>11.200000000000001</v>
      </c>
    </row>
    <row r="15" spans="1:12" ht="16.5" thickBot="1" x14ac:dyDescent="0.3">
      <c r="A15" s="60" t="s">
        <v>15</v>
      </c>
      <c r="B15" s="61"/>
      <c r="C15" s="61"/>
      <c r="D15" s="61"/>
      <c r="E15" s="78"/>
      <c r="F15" s="20">
        <f>SUM(F13:F14)</f>
        <v>7</v>
      </c>
      <c r="G15" s="20">
        <f t="shared" ref="G15:J15" si="0">SUM(G13:G14)</f>
        <v>136.80000000000001</v>
      </c>
      <c r="H15" s="20">
        <f t="shared" si="0"/>
        <v>1.4300000000000002</v>
      </c>
      <c r="I15" s="20">
        <f t="shared" si="0"/>
        <v>2.9</v>
      </c>
      <c r="J15" s="20">
        <f t="shared" si="0"/>
        <v>26.200000000000003</v>
      </c>
    </row>
    <row r="16" spans="1:12" x14ac:dyDescent="0.25">
      <c r="A16" s="59" t="s">
        <v>33</v>
      </c>
      <c r="B16" s="21" t="s">
        <v>16</v>
      </c>
      <c r="C16" s="22" t="s">
        <v>40</v>
      </c>
      <c r="D16" s="22" t="s">
        <v>41</v>
      </c>
      <c r="E16" s="14" t="s">
        <v>46</v>
      </c>
      <c r="F16" s="15">
        <v>11.94</v>
      </c>
      <c r="G16" s="15">
        <f>593*0.25</f>
        <v>148.25</v>
      </c>
      <c r="H16" s="15">
        <f>21.96*0.25</f>
        <v>5.49</v>
      </c>
      <c r="I16" s="15">
        <f>21.08*0.25</f>
        <v>5.27</v>
      </c>
      <c r="J16" s="16">
        <f>66.14*0.25</f>
        <v>16.535</v>
      </c>
    </row>
    <row r="17" spans="1:10" x14ac:dyDescent="0.25">
      <c r="A17" s="59"/>
      <c r="B17" s="7" t="s">
        <v>13</v>
      </c>
      <c r="C17" s="5" t="s">
        <v>42</v>
      </c>
      <c r="D17" s="38" t="s">
        <v>62</v>
      </c>
      <c r="E17" s="17" t="s">
        <v>59</v>
      </c>
      <c r="F17" s="6">
        <v>16.309999999999999</v>
      </c>
      <c r="G17" s="32">
        <f>309*0.36</f>
        <v>111.24</v>
      </c>
      <c r="H17" s="32">
        <f>10.64*0.36</f>
        <v>3.8304</v>
      </c>
      <c r="I17" s="32">
        <f>28.19*0.36</f>
        <v>10.148400000000001</v>
      </c>
      <c r="J17" s="37">
        <f>2.89*0.36</f>
        <v>1.0404</v>
      </c>
    </row>
    <row r="18" spans="1:10" x14ac:dyDescent="0.25">
      <c r="A18" s="59"/>
      <c r="B18" s="7" t="s">
        <v>17</v>
      </c>
      <c r="C18" s="5" t="s">
        <v>60</v>
      </c>
      <c r="D18" s="5" t="s">
        <v>61</v>
      </c>
      <c r="E18" s="17">
        <v>100</v>
      </c>
      <c r="F18" s="6">
        <v>12.54</v>
      </c>
      <c r="G18" s="30">
        <v>162.5</v>
      </c>
      <c r="H18" s="30">
        <v>5.73</v>
      </c>
      <c r="I18" s="30">
        <v>4.0599999999999996</v>
      </c>
      <c r="J18" s="31">
        <v>25.76</v>
      </c>
    </row>
    <row r="19" spans="1:10" x14ac:dyDescent="0.25">
      <c r="A19" s="59"/>
      <c r="B19" s="7" t="s">
        <v>18</v>
      </c>
      <c r="C19" s="5" t="s">
        <v>19</v>
      </c>
      <c r="D19" s="5" t="s">
        <v>20</v>
      </c>
      <c r="E19" s="17" t="s">
        <v>30</v>
      </c>
      <c r="F19" s="6">
        <v>3.54</v>
      </c>
      <c r="G19" s="6">
        <v>60</v>
      </c>
      <c r="H19" s="6">
        <v>7.0000000000000007E-2</v>
      </c>
      <c r="I19" s="6">
        <v>0.02</v>
      </c>
      <c r="J19" s="8">
        <v>15</v>
      </c>
    </row>
    <row r="20" spans="1:10" ht="15.75" thickBot="1" x14ac:dyDescent="0.3">
      <c r="A20" s="59"/>
      <c r="B20" s="9" t="s">
        <v>14</v>
      </c>
      <c r="C20" s="10" t="s">
        <v>44</v>
      </c>
      <c r="D20" s="10" t="s">
        <v>29</v>
      </c>
      <c r="E20" s="18">
        <v>15</v>
      </c>
      <c r="F20" s="19">
        <v>0.67</v>
      </c>
      <c r="G20" s="19">
        <f>229.7*0.15</f>
        <v>34.454999999999998</v>
      </c>
      <c r="H20" s="11">
        <f>6.7*0.15</f>
        <v>1.0049999999999999</v>
      </c>
      <c r="I20" s="11">
        <f>1.1*0.15</f>
        <v>0.16500000000000001</v>
      </c>
      <c r="J20" s="12">
        <f>48.3*0.15</f>
        <v>7.2449999999999992</v>
      </c>
    </row>
    <row r="21" spans="1:10" ht="16.5" thickBot="1" x14ac:dyDescent="0.3">
      <c r="A21" s="60" t="s">
        <v>15</v>
      </c>
      <c r="B21" s="79"/>
      <c r="C21" s="79"/>
      <c r="D21" s="79"/>
      <c r="E21" s="80"/>
      <c r="F21" s="23">
        <f>SUM(F16:F20)</f>
        <v>45</v>
      </c>
      <c r="G21" s="23">
        <f>SUM(G16:G20)</f>
        <v>516.44500000000005</v>
      </c>
      <c r="H21" s="23">
        <f>SUM(H16:H20)</f>
        <v>16.125399999999999</v>
      </c>
      <c r="I21" s="23">
        <f>SUM(I16:I20)</f>
        <v>19.663399999999999</v>
      </c>
      <c r="J21" s="23">
        <f>SUM(J16:J20)</f>
        <v>65.580400000000012</v>
      </c>
    </row>
    <row r="22" spans="1:10" x14ac:dyDescent="0.25">
      <c r="A22" s="59" t="s">
        <v>35</v>
      </c>
      <c r="B22" s="21" t="s">
        <v>16</v>
      </c>
      <c r="C22" s="22" t="s">
        <v>40</v>
      </c>
      <c r="D22" s="22" t="s">
        <v>41</v>
      </c>
      <c r="E22" s="14" t="s">
        <v>46</v>
      </c>
      <c r="F22" s="15">
        <v>11.94</v>
      </c>
      <c r="G22" s="15">
        <f>593*0.25</f>
        <v>148.25</v>
      </c>
      <c r="H22" s="15">
        <f>21.96*0.25</f>
        <v>5.49</v>
      </c>
      <c r="I22" s="15">
        <f>21.08*0.25</f>
        <v>5.27</v>
      </c>
      <c r="J22" s="16">
        <f>66.14*0.25</f>
        <v>16.535</v>
      </c>
    </row>
    <row r="23" spans="1:10" x14ac:dyDescent="0.25">
      <c r="A23" s="59"/>
      <c r="B23" s="7" t="s">
        <v>13</v>
      </c>
      <c r="C23" s="5" t="s">
        <v>42</v>
      </c>
      <c r="D23" s="39" t="s">
        <v>62</v>
      </c>
      <c r="E23" s="17" t="s">
        <v>67</v>
      </c>
      <c r="F23" s="6">
        <v>31.72</v>
      </c>
      <c r="G23" s="32">
        <f>309*0.7</f>
        <v>216.29999999999998</v>
      </c>
      <c r="H23" s="32">
        <f>10.64*0.7</f>
        <v>7.4479999999999995</v>
      </c>
      <c r="I23" s="32">
        <f>28.19*0.7</f>
        <v>19.733000000000001</v>
      </c>
      <c r="J23" s="37">
        <f>2.89*0.7</f>
        <v>2.0230000000000001</v>
      </c>
    </row>
    <row r="24" spans="1:10" s="41" customFormat="1" x14ac:dyDescent="0.25">
      <c r="A24" s="59"/>
      <c r="B24" s="7" t="s">
        <v>17</v>
      </c>
      <c r="C24" s="5" t="s">
        <v>60</v>
      </c>
      <c r="D24" s="5" t="s">
        <v>61</v>
      </c>
      <c r="E24" s="17">
        <v>120</v>
      </c>
      <c r="F24" s="6">
        <v>15.05</v>
      </c>
      <c r="G24" s="30">
        <f>162.5*1.2</f>
        <v>195</v>
      </c>
      <c r="H24" s="30">
        <f>5.73*1.2</f>
        <v>6.8760000000000003</v>
      </c>
      <c r="I24" s="30">
        <f>4.06*1.2</f>
        <v>4.871999999999999</v>
      </c>
      <c r="J24" s="31">
        <f>25.76*1.2</f>
        <v>30.911999999999999</v>
      </c>
    </row>
    <row r="25" spans="1:10" x14ac:dyDescent="0.25">
      <c r="A25" s="59"/>
      <c r="B25" s="7" t="s">
        <v>18</v>
      </c>
      <c r="C25" s="5" t="s">
        <v>64</v>
      </c>
      <c r="D25" s="5" t="s">
        <v>65</v>
      </c>
      <c r="E25" s="17">
        <v>200</v>
      </c>
      <c r="F25" s="6">
        <v>8.8699999999999992</v>
      </c>
      <c r="G25" s="6">
        <v>100.6</v>
      </c>
      <c r="H25" s="6">
        <v>3.17</v>
      </c>
      <c r="I25" s="6">
        <v>2.68</v>
      </c>
      <c r="J25" s="8">
        <v>15.95</v>
      </c>
    </row>
    <row r="26" spans="1:10" ht="15.75" thickBot="1" x14ac:dyDescent="0.3">
      <c r="A26" s="59"/>
      <c r="B26" s="9" t="s">
        <v>14</v>
      </c>
      <c r="C26" s="10" t="s">
        <v>44</v>
      </c>
      <c r="D26" s="10" t="s">
        <v>29</v>
      </c>
      <c r="E26" s="18">
        <v>43.5</v>
      </c>
      <c r="F26" s="19">
        <v>1.92</v>
      </c>
      <c r="G26" s="19">
        <f>229.7*0.435</f>
        <v>99.919499999999999</v>
      </c>
      <c r="H26" s="11">
        <f>6.7*0.435</f>
        <v>2.9144999999999999</v>
      </c>
      <c r="I26" s="11">
        <f>1.1*0.435</f>
        <v>0.47850000000000004</v>
      </c>
      <c r="J26" s="12">
        <f>48.3*0.435</f>
        <v>21.0105</v>
      </c>
    </row>
    <row r="27" spans="1:10" ht="16.5" thickBot="1" x14ac:dyDescent="0.3">
      <c r="A27" s="60" t="s">
        <v>15</v>
      </c>
      <c r="B27" s="79"/>
      <c r="C27" s="79"/>
      <c r="D27" s="79"/>
      <c r="E27" s="80"/>
      <c r="F27" s="23">
        <f>SUM(F22:F26)</f>
        <v>69.5</v>
      </c>
      <c r="G27" s="23">
        <f>SUM(G22:G26)</f>
        <v>760.06949999999995</v>
      </c>
      <c r="H27" s="23">
        <f>SUM(H22:H26)</f>
        <v>25.898500000000002</v>
      </c>
      <c r="I27" s="23">
        <f>SUM(I22:I26)</f>
        <v>33.033499999999997</v>
      </c>
      <c r="J27" s="23">
        <f>SUM(J22:J26)</f>
        <v>86.430499999999995</v>
      </c>
    </row>
    <row r="29" spans="1:10" ht="15.75" thickBot="1" x14ac:dyDescent="0.3">
      <c r="A29" s="70" t="s">
        <v>25</v>
      </c>
      <c r="B29" s="70"/>
      <c r="C29" s="70"/>
      <c r="D29" s="70"/>
      <c r="E29" s="70"/>
      <c r="F29" s="70"/>
      <c r="G29" s="70"/>
      <c r="H29" s="70"/>
      <c r="I29" s="70"/>
      <c r="J29" s="70"/>
    </row>
    <row r="30" spans="1:10" ht="15.75" x14ac:dyDescent="0.25">
      <c r="A30" s="26"/>
      <c r="B30" s="26"/>
      <c r="C30" s="69" t="s">
        <v>23</v>
      </c>
      <c r="D30" s="69"/>
      <c r="G30" s="71"/>
      <c r="H30" s="71"/>
      <c r="I30" s="71"/>
      <c r="J30" s="71"/>
    </row>
    <row r="31" spans="1:10" x14ac:dyDescent="0.25">
      <c r="A31" s="1"/>
      <c r="B31" s="1"/>
      <c r="C31" s="1"/>
      <c r="D31" s="1"/>
    </row>
    <row r="32" spans="1:10" x14ac:dyDescent="0.25">
      <c r="A32" s="55" t="s">
        <v>24</v>
      </c>
      <c r="B32" s="55"/>
    </row>
    <row r="33" spans="1:2" x14ac:dyDescent="0.25">
      <c r="A33" s="55" t="s">
        <v>26</v>
      </c>
      <c r="B33" s="55"/>
    </row>
    <row r="34" spans="1:2" x14ac:dyDescent="0.25">
      <c r="A34" s="3"/>
    </row>
  </sheetData>
  <mergeCells count="17">
    <mergeCell ref="B1:C1"/>
    <mergeCell ref="G1:J1"/>
    <mergeCell ref="A8:E8"/>
    <mergeCell ref="A9:A11"/>
    <mergeCell ref="A12:E12"/>
    <mergeCell ref="G30:J30"/>
    <mergeCell ref="A3:A7"/>
    <mergeCell ref="A32:B32"/>
    <mergeCell ref="A33:B33"/>
    <mergeCell ref="A13:A14"/>
    <mergeCell ref="A15:E15"/>
    <mergeCell ref="A22:A26"/>
    <mergeCell ref="A27:E27"/>
    <mergeCell ref="A29:J29"/>
    <mergeCell ref="C30:D30"/>
    <mergeCell ref="A21:E21"/>
    <mergeCell ref="A16:A2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28.04 1-4 кл</vt:lpstr>
      <vt:lpstr>28.04 5-11 кл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2022-04-27T10:51:51Z</dcterms:modified>
</cp:coreProperties>
</file>