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3.05 1-4 кл" sheetId="1" r:id="rId1"/>
    <sheet name="13.05 5-11 кл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3" l="1"/>
  <c r="I29" i="3"/>
  <c r="H29" i="3"/>
  <c r="G29" i="3"/>
  <c r="J26" i="3"/>
  <c r="I26" i="3"/>
  <c r="H26" i="3"/>
  <c r="G26" i="3"/>
  <c r="J25" i="3"/>
  <c r="I25" i="3"/>
  <c r="H25" i="3"/>
  <c r="G25" i="3"/>
  <c r="J24" i="3"/>
  <c r="I24" i="3"/>
  <c r="H24" i="3"/>
  <c r="G24" i="3"/>
  <c r="J22" i="3"/>
  <c r="I22" i="3"/>
  <c r="H22" i="3"/>
  <c r="G22" i="3"/>
  <c r="J20" i="3"/>
  <c r="I20" i="3"/>
  <c r="H20" i="3"/>
  <c r="G20" i="3"/>
  <c r="J19" i="3"/>
  <c r="I19" i="3"/>
  <c r="H19" i="3"/>
  <c r="G19" i="3"/>
  <c r="J18" i="3"/>
  <c r="I18" i="3"/>
  <c r="H18" i="3"/>
  <c r="G18" i="3"/>
  <c r="J14" i="1" l="1"/>
  <c r="I14" i="1"/>
  <c r="H14" i="1"/>
  <c r="G14" i="1"/>
  <c r="J13" i="3"/>
  <c r="I13" i="3"/>
  <c r="H13" i="3"/>
  <c r="G13" i="3"/>
  <c r="J11" i="3"/>
  <c r="I11" i="3"/>
  <c r="H11" i="3"/>
  <c r="G11" i="3"/>
  <c r="J10" i="3"/>
  <c r="I10" i="3"/>
  <c r="H10" i="3"/>
  <c r="G10" i="3"/>
  <c r="J8" i="3"/>
  <c r="I8" i="3"/>
  <c r="H8" i="3"/>
  <c r="G8" i="3"/>
  <c r="J4" i="3"/>
  <c r="I4" i="3"/>
  <c r="H4" i="3"/>
  <c r="G4" i="3"/>
  <c r="J7" i="3"/>
  <c r="I7" i="3"/>
  <c r="H7" i="3"/>
  <c r="G7" i="3"/>
  <c r="J5" i="3"/>
  <c r="I5" i="3"/>
  <c r="H5" i="3"/>
  <c r="G5" i="3"/>
  <c r="J21" i="1"/>
  <c r="I21" i="1"/>
  <c r="H21" i="1"/>
  <c r="G21" i="1"/>
  <c r="J18" i="1" l="1"/>
  <c r="I18" i="1"/>
  <c r="H18" i="1"/>
  <c r="G18" i="1"/>
  <c r="J17" i="1"/>
  <c r="I17" i="1"/>
  <c r="H17" i="1"/>
  <c r="G17" i="1"/>
  <c r="G15" i="1"/>
  <c r="H15" i="1"/>
  <c r="I15" i="1"/>
  <c r="J15" i="1"/>
  <c r="F15" i="1"/>
  <c r="J12" i="1"/>
  <c r="I12" i="1"/>
  <c r="H12" i="1"/>
  <c r="G12" i="1"/>
  <c r="J10" i="1"/>
  <c r="I10" i="1"/>
  <c r="H10" i="1"/>
  <c r="G10" i="1"/>
  <c r="F26" i="1"/>
  <c r="J25" i="1"/>
  <c r="I25" i="1"/>
  <c r="H25" i="1"/>
  <c r="G25" i="1"/>
  <c r="J16" i="1" l="1"/>
  <c r="I16" i="1"/>
  <c r="H16" i="1"/>
  <c r="G16" i="1"/>
  <c r="J11" i="1" l="1"/>
  <c r="I11" i="1"/>
  <c r="H11" i="1"/>
  <c r="G11" i="1"/>
  <c r="J8" i="1"/>
  <c r="I8" i="1"/>
  <c r="H8" i="1"/>
  <c r="G8" i="1"/>
  <c r="J7" i="1"/>
  <c r="I7" i="1"/>
  <c r="H7" i="1"/>
  <c r="G7" i="1"/>
  <c r="J5" i="1"/>
  <c r="I5" i="1"/>
  <c r="H5" i="1"/>
  <c r="G5" i="1"/>
  <c r="J4" i="1" l="1"/>
  <c r="I4" i="1"/>
  <c r="H4" i="1"/>
  <c r="G4" i="1"/>
  <c r="J3" i="1"/>
  <c r="I3" i="1"/>
  <c r="H3" i="1"/>
  <c r="G3" i="1"/>
  <c r="G9" i="1" l="1"/>
  <c r="H9" i="1"/>
  <c r="I9" i="1"/>
  <c r="J9" i="1"/>
  <c r="F9" i="1"/>
  <c r="I9" i="3" l="1"/>
  <c r="H9" i="3"/>
  <c r="F30" i="3"/>
  <c r="J30" i="3"/>
  <c r="I30" i="3"/>
  <c r="H30" i="3"/>
  <c r="G30" i="3"/>
  <c r="G23" i="3"/>
  <c r="F23" i="3"/>
  <c r="J23" i="3"/>
  <c r="I23" i="3"/>
  <c r="H23" i="3"/>
  <c r="J17" i="3"/>
  <c r="H17" i="3"/>
  <c r="F17" i="3"/>
  <c r="I17" i="3"/>
  <c r="G17" i="3"/>
  <c r="I14" i="3"/>
  <c r="G14" i="3"/>
  <c r="F14" i="3"/>
  <c r="J14" i="3"/>
  <c r="H14" i="3"/>
  <c r="J9" i="3"/>
  <c r="F9" i="3"/>
  <c r="G9" i="3"/>
  <c r="G26" i="1" l="1"/>
  <c r="H26" i="1"/>
  <c r="I26" i="1"/>
  <c r="J26" i="1"/>
  <c r="F22" i="1" l="1"/>
  <c r="G22" i="1" l="1"/>
  <c r="I22" i="1"/>
  <c r="J22" i="1"/>
  <c r="H22" i="1"/>
</calcChain>
</file>

<file path=xl/sharedStrings.xml><?xml version="1.0" encoding="utf-8"?>
<sst xmlns="http://schemas.openxmlformats.org/spreadsheetml/2006/main" count="196" uniqueCount="71">
  <si>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</si>
  <si>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</si>
  <si>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</si>
  <si>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</si>
  <si>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</si>
  <si>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</si>
  <si>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</si>
  <si>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</si>
  <si>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</si>
  <si>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</si>
  <si>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</si>
  <si>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</si>
  <si>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</si>
  <si>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</si>
  <si>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</si>
  <si>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</si>
  <si>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</si>
  <si>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</si>
  <si>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</si>
  <si>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</si>
  <si>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</si>
  <si>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</si>
  <si>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</si>
  <si>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</si>
  <si>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</si>
  <si>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</si>
  <si>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</si>
  <si>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</si>
  <si>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</si>
  <si>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</si>
  <si>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</si>
  <si>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Батон "Домашний"</t>
  </si>
  <si>
    <t>200/15</t>
  </si>
  <si>
    <t>№269-2015г.</t>
  </si>
  <si>
    <t>Котлета (особая) из говядины и свинины</t>
  </si>
  <si>
    <t>ПР</t>
  </si>
  <si>
    <t>Кондитерское изделие</t>
  </si>
  <si>
    <t>№71-2015г.</t>
  </si>
  <si>
    <t>250/2</t>
  </si>
  <si>
    <t>Овощи натуральные свежие (огурцы)</t>
  </si>
  <si>
    <t>ТТК №5</t>
  </si>
  <si>
    <t>Фрукт</t>
  </si>
  <si>
    <t>Завтрак 5-11 кл с доплатой 62,50 руб. и льготники с доплатой 42,50 руб. 1 смена</t>
  </si>
  <si>
    <t>ТТК№5</t>
  </si>
  <si>
    <t>Завтрак для льготников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</si>
  <si>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</si>
  <si>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</si>
  <si>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</si>
  <si>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Печенье "Курабье"</t>
  </si>
  <si>
    <t>№2-2015г.</t>
  </si>
  <si>
    <t>Бутерброд с повидлом</t>
  </si>
  <si>
    <t>№304-2015г.</t>
  </si>
  <si>
    <t>Рис отварной</t>
  </si>
  <si>
    <t>ТТК №18</t>
  </si>
  <si>
    <t>Филе цыплёнка запечённое</t>
  </si>
  <si>
    <t>№309-2015г.</t>
  </si>
  <si>
    <t>Макароны отварные</t>
  </si>
  <si>
    <t>№82-2015г.</t>
  </si>
  <si>
    <t>Борщ из свежей капусты с картофелем со сметаной и зеленью</t>
  </si>
  <si>
    <t>250/10/2</t>
  </si>
  <si>
    <t>№338-2015г</t>
  </si>
  <si>
    <t>Фрукт свежий (яблоко)</t>
  </si>
  <si>
    <t>Мучное изделие</t>
  </si>
  <si>
    <t>№406-2015г.</t>
  </si>
  <si>
    <t>Пирожок печёный из дрожжевого теста с повидлом</t>
  </si>
  <si>
    <t>Борщ из свежей капусты с картофелем с зеленью</t>
  </si>
  <si>
    <t>№379-2015г.</t>
  </si>
  <si>
    <t>Кофейный напиток с молоком</t>
  </si>
  <si>
    <t>№425-2015г.</t>
  </si>
  <si>
    <t>Булочка дорожная</t>
  </si>
  <si>
    <t>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</si>
</sst>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/>
    <xf numFmtId="2" fontId="2" fillId="0" borderId="25" xfId="0" applyNumberFormat="1" applyFont="1" applyBorder="1" applyAlignment="1">
      <alignment vertical="center" wrapText="1"/>
    </xf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4" xfId="0" applyFont="1" applyBorder="1" applyAlignment="1">
      <alignment horizontal="center" vertical="center" wrapText="1"/>
    </xf>
    <xf numFmtId="0" fontId="1" fillId="0" borderId="0" xfId="0" applyFont="1"/>
    <xf numFmtId="49" fontId="1" fillId="0" borderId="9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2" fontId="1" fillId="0" borderId="9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horizontal="right" vertical="center" wrapText="1"/>
    </xf>
    <xf numFmtId="2" fontId="1" fillId="0" borderId="36" xfId="0" applyNumberFormat="1" applyFont="1" applyBorder="1" applyAlignment="1">
      <alignment horizontal="right" vertical="center" wrapText="1"/>
    </xf>
    <xf numFmtId="2" fontId="5" fillId="0" borderId="36" xfId="0" applyNumberFormat="1" applyFont="1" applyBorder="1" applyAlignment="1">
      <alignment horizontal="right" vertical="center" wrapText="1"/>
    </xf>
    <xf numFmtId="2" fontId="5" fillId="0" borderId="37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B16" sqref="B16:J21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5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8" t="s">
        <v>21</v>
      </c>
      <c r="C1" s="59"/>
      <c r="D1" s="1" t="s">
        <v>1</v>
      </c>
      <c r="E1" s="30"/>
      <c r="F1" s="1" t="s">
        <v>2</v>
      </c>
      <c r="G1" s="60">
        <v>44694</v>
      </c>
      <c r="H1" s="61"/>
      <c r="I1" s="61"/>
      <c r="J1" s="62"/>
      <c r="K1" s="1"/>
      <c r="L1" s="1"/>
    </row>
    <row r="2" spans="1:12" ht="15.75" thickBot="1" x14ac:dyDescent="0.3">
      <c r="A2" s="34" t="s">
        <v>3</v>
      </c>
      <c r="B2" s="5" t="s">
        <v>4</v>
      </c>
      <c r="C2" s="38" t="s">
        <v>5</v>
      </c>
      <c r="D2" s="44" t="s">
        <v>6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4" t="s">
        <v>12</v>
      </c>
    </row>
    <row r="3" spans="1:12" s="47" customFormat="1" x14ac:dyDescent="0.25">
      <c r="A3" s="74" t="s">
        <v>26</v>
      </c>
      <c r="B3" s="16" t="s">
        <v>30</v>
      </c>
      <c r="C3" s="17" t="s">
        <v>37</v>
      </c>
      <c r="D3" s="17" t="s">
        <v>39</v>
      </c>
      <c r="E3" s="26">
        <v>20</v>
      </c>
      <c r="F3" s="26">
        <v>3.02</v>
      </c>
      <c r="G3" s="49">
        <f>2.4</f>
        <v>2.4</v>
      </c>
      <c r="H3" s="49">
        <f>0.12</f>
        <v>0.12</v>
      </c>
      <c r="I3" s="49">
        <f>0.02</f>
        <v>0.02</v>
      </c>
      <c r="J3" s="50">
        <f>0.38</f>
        <v>0.38</v>
      </c>
    </row>
    <row r="4" spans="1:12" x14ac:dyDescent="0.25">
      <c r="A4" s="75"/>
      <c r="B4" s="9" t="s">
        <v>13</v>
      </c>
      <c r="C4" s="6" t="s">
        <v>33</v>
      </c>
      <c r="D4" s="6" t="s">
        <v>34</v>
      </c>
      <c r="E4" s="21">
        <v>75</v>
      </c>
      <c r="F4" s="8">
        <v>52.67</v>
      </c>
      <c r="G4" s="8">
        <f>144*1.5</f>
        <v>216</v>
      </c>
      <c r="H4" s="8">
        <f>8.37*1.5</f>
        <v>12.555</v>
      </c>
      <c r="I4" s="8">
        <f>9.17*1.5</f>
        <v>13.754999999999999</v>
      </c>
      <c r="J4" s="10">
        <f>6.56*1.5</f>
        <v>9.84</v>
      </c>
    </row>
    <row r="5" spans="1:12" s="36" customFormat="1" x14ac:dyDescent="0.25">
      <c r="A5" s="75"/>
      <c r="B5" s="79" t="s">
        <v>17</v>
      </c>
      <c r="C5" s="80" t="s">
        <v>51</v>
      </c>
      <c r="D5" s="80" t="s">
        <v>52</v>
      </c>
      <c r="E5" s="81">
        <v>130</v>
      </c>
      <c r="F5" s="82">
        <v>10.84</v>
      </c>
      <c r="G5" s="83">
        <f>139.8*1.3</f>
        <v>181.74</v>
      </c>
      <c r="H5" s="83">
        <f>2.43*1.3</f>
        <v>3.1590000000000003</v>
      </c>
      <c r="I5" s="83">
        <f>3.58*1.3</f>
        <v>4.6539999999999999</v>
      </c>
      <c r="J5" s="84">
        <f>24.46*1.3</f>
        <v>31.798000000000002</v>
      </c>
    </row>
    <row r="6" spans="1:12" x14ac:dyDescent="0.25">
      <c r="A6" s="75"/>
      <c r="B6" s="9" t="s">
        <v>18</v>
      </c>
      <c r="C6" s="6" t="s">
        <v>19</v>
      </c>
      <c r="D6" s="6" t="s">
        <v>20</v>
      </c>
      <c r="E6" s="21" t="s">
        <v>32</v>
      </c>
      <c r="F6" s="8">
        <v>3.46</v>
      </c>
      <c r="G6" s="8">
        <v>60</v>
      </c>
      <c r="H6" s="8">
        <v>7.0000000000000007E-2</v>
      </c>
      <c r="I6" s="8">
        <v>0.02</v>
      </c>
      <c r="J6" s="10">
        <v>15</v>
      </c>
    </row>
    <row r="7" spans="1:12" x14ac:dyDescent="0.25">
      <c r="A7" s="75"/>
      <c r="B7" s="9" t="s">
        <v>36</v>
      </c>
      <c r="C7" s="6" t="s">
        <v>35</v>
      </c>
      <c r="D7" s="6" t="s">
        <v>48</v>
      </c>
      <c r="E7" s="21">
        <v>15</v>
      </c>
      <c r="F7" s="8">
        <v>3.16</v>
      </c>
      <c r="G7" s="8">
        <f>480*0.15</f>
        <v>72</v>
      </c>
      <c r="H7" s="7">
        <f>8.5*0.15</f>
        <v>1.2749999999999999</v>
      </c>
      <c r="I7" s="7">
        <f>18*0.15</f>
        <v>2.6999999999999997</v>
      </c>
      <c r="J7" s="11">
        <f>70*0.15</f>
        <v>10.5</v>
      </c>
    </row>
    <row r="8" spans="1:12" ht="15.75" thickBot="1" x14ac:dyDescent="0.3">
      <c r="A8" s="76"/>
      <c r="B8" s="12" t="s">
        <v>14</v>
      </c>
      <c r="C8" s="13" t="s">
        <v>40</v>
      </c>
      <c r="D8" s="13" t="s">
        <v>31</v>
      </c>
      <c r="E8" s="22">
        <v>35.5</v>
      </c>
      <c r="F8" s="23">
        <v>1.58</v>
      </c>
      <c r="G8" s="23">
        <f>229.7*0.355</f>
        <v>81.543499999999995</v>
      </c>
      <c r="H8" s="14">
        <f>6.7*0.355</f>
        <v>2.3784999999999998</v>
      </c>
      <c r="I8" s="14">
        <f>1.1*0.355</f>
        <v>0.39050000000000001</v>
      </c>
      <c r="J8" s="15">
        <f>48.3*0.355</f>
        <v>17.1465</v>
      </c>
    </row>
    <row r="9" spans="1:12" ht="16.5" thickBot="1" x14ac:dyDescent="0.3">
      <c r="A9" s="52" t="s">
        <v>15</v>
      </c>
      <c r="B9" s="66"/>
      <c r="C9" s="66"/>
      <c r="D9" s="66"/>
      <c r="E9" s="67"/>
      <c r="F9" s="24">
        <f>SUM(F3:F8)</f>
        <v>74.72999999999999</v>
      </c>
      <c r="G9" s="24">
        <f t="shared" ref="G9:J9" si="0">SUM(G3:G8)</f>
        <v>613.68349999999998</v>
      </c>
      <c r="H9" s="24">
        <f t="shared" si="0"/>
        <v>19.557499999999997</v>
      </c>
      <c r="I9" s="24">
        <f t="shared" si="0"/>
        <v>21.539499999999997</v>
      </c>
      <c r="J9" s="24">
        <f t="shared" si="0"/>
        <v>84.664500000000004</v>
      </c>
    </row>
    <row r="10" spans="1:12" s="33" customFormat="1" ht="17.25" customHeight="1" x14ac:dyDescent="0.25">
      <c r="A10" s="68" t="s">
        <v>27</v>
      </c>
      <c r="B10" s="25" t="s">
        <v>16</v>
      </c>
      <c r="C10" s="26" t="s">
        <v>57</v>
      </c>
      <c r="D10" s="26" t="s">
        <v>65</v>
      </c>
      <c r="E10" s="18" t="s">
        <v>38</v>
      </c>
      <c r="F10" s="19">
        <v>16.510000000000002</v>
      </c>
      <c r="G10" s="19">
        <f>415*0.25+162*0</f>
        <v>103.75</v>
      </c>
      <c r="H10" s="19">
        <f>7.21*0.25+2.6*0</f>
        <v>1.8025</v>
      </c>
      <c r="I10" s="19">
        <f>19.68*0.25+15*0</f>
        <v>4.92</v>
      </c>
      <c r="J10" s="20">
        <f>43.73*0.25+3.6*0</f>
        <v>10.932499999999999</v>
      </c>
      <c r="K10"/>
    </row>
    <row r="11" spans="1:12" x14ac:dyDescent="0.25">
      <c r="A11" s="69"/>
      <c r="B11" s="9" t="s">
        <v>13</v>
      </c>
      <c r="C11" s="6" t="s">
        <v>53</v>
      </c>
      <c r="D11" s="6" t="s">
        <v>54</v>
      </c>
      <c r="E11" s="21">
        <v>20</v>
      </c>
      <c r="F11" s="8">
        <v>16.43</v>
      </c>
      <c r="G11" s="28">
        <f>129.15/50*20</f>
        <v>51.660000000000004</v>
      </c>
      <c r="H11" s="28">
        <f>17.2/50*20</f>
        <v>6.879999999999999</v>
      </c>
      <c r="I11" s="28">
        <f>3.8/50*20</f>
        <v>1.52</v>
      </c>
      <c r="J11" s="29">
        <f>6.6/50*20</f>
        <v>2.64</v>
      </c>
      <c r="K11"/>
    </row>
    <row r="12" spans="1:12" s="48" customFormat="1" x14ac:dyDescent="0.25">
      <c r="A12" s="69"/>
      <c r="B12" s="9" t="s">
        <v>17</v>
      </c>
      <c r="C12" s="6" t="s">
        <v>55</v>
      </c>
      <c r="D12" s="6" t="s">
        <v>56</v>
      </c>
      <c r="E12" s="21">
        <v>80</v>
      </c>
      <c r="F12" s="8">
        <v>5.97</v>
      </c>
      <c r="G12" s="28">
        <f>1123*0.08</f>
        <v>89.84</v>
      </c>
      <c r="H12" s="28">
        <f>36.78*0.08</f>
        <v>2.9424000000000001</v>
      </c>
      <c r="I12" s="28">
        <f>30.1*0.08</f>
        <v>2.4080000000000004</v>
      </c>
      <c r="J12" s="29">
        <f>176.3*0.08</f>
        <v>14.104000000000001</v>
      </c>
      <c r="K12"/>
    </row>
    <row r="13" spans="1:12" s="33" customFormat="1" x14ac:dyDescent="0.25">
      <c r="A13" s="69"/>
      <c r="B13" s="9" t="s">
        <v>18</v>
      </c>
      <c r="C13" s="6" t="s">
        <v>19</v>
      </c>
      <c r="D13" s="6" t="s">
        <v>20</v>
      </c>
      <c r="E13" s="21" t="s">
        <v>32</v>
      </c>
      <c r="F13" s="8">
        <v>3.46</v>
      </c>
      <c r="G13" s="8">
        <v>60</v>
      </c>
      <c r="H13" s="8">
        <v>7.0000000000000007E-2</v>
      </c>
      <c r="I13" s="8">
        <v>0.02</v>
      </c>
      <c r="J13" s="10">
        <v>15</v>
      </c>
    </row>
    <row r="14" spans="1:12" ht="15.75" thickBot="1" x14ac:dyDescent="0.3">
      <c r="A14" s="69"/>
      <c r="B14" s="12" t="s">
        <v>14</v>
      </c>
      <c r="C14" s="13" t="s">
        <v>40</v>
      </c>
      <c r="D14" s="13" t="s">
        <v>31</v>
      </c>
      <c r="E14" s="22">
        <v>50</v>
      </c>
      <c r="F14" s="23">
        <v>2.16</v>
      </c>
      <c r="G14" s="23">
        <f>229.7*0.5</f>
        <v>114.85</v>
      </c>
      <c r="H14" s="14">
        <f>6.7*0.5</f>
        <v>3.35</v>
      </c>
      <c r="I14" s="14">
        <f>1.1*0.5</f>
        <v>0.55000000000000004</v>
      </c>
      <c r="J14" s="15">
        <f>48.3*0.5</f>
        <v>24.15</v>
      </c>
    </row>
    <row r="15" spans="1:12" ht="16.5" thickBot="1" x14ac:dyDescent="0.3">
      <c r="A15" s="70" t="s">
        <v>15</v>
      </c>
      <c r="B15" s="71"/>
      <c r="C15" s="71"/>
      <c r="D15" s="71"/>
      <c r="E15" s="72"/>
      <c r="F15" s="32">
        <f>SUM(F10:F14)</f>
        <v>44.53</v>
      </c>
      <c r="G15" s="32">
        <f t="shared" ref="G15:J15" si="1">SUM(G10:G14)</f>
        <v>420.1</v>
      </c>
      <c r="H15" s="32">
        <f t="shared" si="1"/>
        <v>15.0449</v>
      </c>
      <c r="I15" s="32">
        <f t="shared" si="1"/>
        <v>9.4179999999999993</v>
      </c>
      <c r="J15" s="32">
        <f t="shared" si="1"/>
        <v>66.82650000000001</v>
      </c>
    </row>
    <row r="16" spans="1:12" s="31" customFormat="1" ht="30" x14ac:dyDescent="0.25">
      <c r="A16" s="69" t="s">
        <v>28</v>
      </c>
      <c r="B16" s="25" t="s">
        <v>16</v>
      </c>
      <c r="C16" s="26" t="s">
        <v>57</v>
      </c>
      <c r="D16" s="26" t="s">
        <v>58</v>
      </c>
      <c r="E16" s="18" t="s">
        <v>59</v>
      </c>
      <c r="F16" s="19">
        <v>19.63</v>
      </c>
      <c r="G16" s="19">
        <f>415*0.25+162*0.1</f>
        <v>119.95</v>
      </c>
      <c r="H16" s="19">
        <f>7.21*0.25+2.6*0.1</f>
        <v>2.0625</v>
      </c>
      <c r="I16" s="19">
        <f>19.68*0.25+15*0.1</f>
        <v>6.42</v>
      </c>
      <c r="J16" s="20">
        <f>43.73*0.25+3.6*0.1</f>
        <v>11.292499999999999</v>
      </c>
      <c r="K16"/>
    </row>
    <row r="17" spans="1:11" s="45" customFormat="1" x14ac:dyDescent="0.25">
      <c r="A17" s="69"/>
      <c r="B17" s="9" t="s">
        <v>13</v>
      </c>
      <c r="C17" s="6" t="s">
        <v>53</v>
      </c>
      <c r="D17" s="6" t="s">
        <v>54</v>
      </c>
      <c r="E17" s="21">
        <v>40</v>
      </c>
      <c r="F17" s="8">
        <v>32.86</v>
      </c>
      <c r="G17" s="28">
        <f>129.15/50*40</f>
        <v>103.32000000000001</v>
      </c>
      <c r="H17" s="28">
        <f>17.2/50*40</f>
        <v>13.759999999999998</v>
      </c>
      <c r="I17" s="28">
        <f>3.8/50*40</f>
        <v>3.04</v>
      </c>
      <c r="J17" s="29">
        <f>6.6/50*40</f>
        <v>5.28</v>
      </c>
      <c r="K17"/>
    </row>
    <row r="18" spans="1:11" x14ac:dyDescent="0.25">
      <c r="A18" s="69"/>
      <c r="B18" s="9" t="s">
        <v>17</v>
      </c>
      <c r="C18" s="6" t="s">
        <v>55</v>
      </c>
      <c r="D18" s="6" t="s">
        <v>56</v>
      </c>
      <c r="E18" s="21">
        <v>120</v>
      </c>
      <c r="F18" s="8">
        <v>8.9499999999999993</v>
      </c>
      <c r="G18" s="28">
        <f>1123*0.12</f>
        <v>134.76</v>
      </c>
      <c r="H18" s="28">
        <f>36.78*0.12</f>
        <v>4.4135999999999997</v>
      </c>
      <c r="I18" s="28">
        <f>30.1*0.12</f>
        <v>3.6120000000000001</v>
      </c>
      <c r="J18" s="29">
        <f>176.3*0.12</f>
        <v>21.155999999999999</v>
      </c>
      <c r="K18"/>
    </row>
    <row r="19" spans="1:11" x14ac:dyDescent="0.25">
      <c r="A19" s="69"/>
      <c r="B19" s="9" t="s">
        <v>18</v>
      </c>
      <c r="C19" s="6" t="s">
        <v>66</v>
      </c>
      <c r="D19" s="6" t="s">
        <v>67</v>
      </c>
      <c r="E19" s="21">
        <v>200</v>
      </c>
      <c r="F19" s="8">
        <v>8.57</v>
      </c>
      <c r="G19" s="8">
        <v>100.6</v>
      </c>
      <c r="H19" s="8">
        <v>3.17</v>
      </c>
      <c r="I19" s="8">
        <v>2.68</v>
      </c>
      <c r="J19" s="10">
        <v>15.95</v>
      </c>
      <c r="K19"/>
    </row>
    <row r="20" spans="1:11" s="35" customFormat="1" x14ac:dyDescent="0.25">
      <c r="A20" s="69"/>
      <c r="B20" s="9" t="s">
        <v>62</v>
      </c>
      <c r="C20" s="6" t="s">
        <v>68</v>
      </c>
      <c r="D20" s="6" t="s">
        <v>69</v>
      </c>
      <c r="E20" s="21">
        <v>50</v>
      </c>
      <c r="F20" s="8">
        <v>4.1100000000000003</v>
      </c>
      <c r="G20" s="8">
        <v>160.5</v>
      </c>
      <c r="H20" s="7">
        <v>3.39</v>
      </c>
      <c r="I20" s="7">
        <v>6.98</v>
      </c>
      <c r="J20" s="11">
        <v>21.07</v>
      </c>
    </row>
    <row r="21" spans="1:11" s="35" customFormat="1" ht="15.75" thickBot="1" x14ac:dyDescent="0.3">
      <c r="A21" s="73"/>
      <c r="B21" s="12" t="s">
        <v>14</v>
      </c>
      <c r="C21" s="13" t="s">
        <v>40</v>
      </c>
      <c r="D21" s="13" t="s">
        <v>31</v>
      </c>
      <c r="E21" s="22">
        <v>24.5</v>
      </c>
      <c r="F21" s="23">
        <v>0.61</v>
      </c>
      <c r="G21" s="23">
        <f>229.7*0.245</f>
        <v>56.276499999999999</v>
      </c>
      <c r="H21" s="14">
        <f>6.7*0.245</f>
        <v>1.6415</v>
      </c>
      <c r="I21" s="14">
        <f>1.1*0.245</f>
        <v>0.26950000000000002</v>
      </c>
      <c r="J21" s="15">
        <f>48.3*0.245</f>
        <v>11.833499999999999</v>
      </c>
    </row>
    <row r="22" spans="1:11" ht="16.5" thickBot="1" x14ac:dyDescent="0.3">
      <c r="A22" s="52" t="s">
        <v>15</v>
      </c>
      <c r="B22" s="66"/>
      <c r="C22" s="66"/>
      <c r="D22" s="66"/>
      <c r="E22" s="67"/>
      <c r="F22" s="24">
        <f>SUM(F16:F21)</f>
        <v>74.72999999999999</v>
      </c>
      <c r="G22" s="24">
        <f>SUM(G16:G21)</f>
        <v>675.40650000000005</v>
      </c>
      <c r="H22" s="24">
        <f>SUM(H16:H21)</f>
        <v>28.437599999999996</v>
      </c>
      <c r="I22" s="24">
        <f>SUM(I16:I21)</f>
        <v>23.0015</v>
      </c>
      <c r="J22" s="24">
        <f>SUM(J16:J21)</f>
        <v>86.582000000000008</v>
      </c>
      <c r="K22"/>
    </row>
    <row r="23" spans="1:11" s="35" customFormat="1" ht="15" customHeight="1" x14ac:dyDescent="0.25">
      <c r="A23" s="55" t="s">
        <v>29</v>
      </c>
      <c r="B23" s="25" t="s">
        <v>18</v>
      </c>
      <c r="C23" s="26" t="s">
        <v>19</v>
      </c>
      <c r="D23" s="26" t="s">
        <v>20</v>
      </c>
      <c r="E23" s="18" t="s">
        <v>32</v>
      </c>
      <c r="F23" s="19">
        <v>3.46</v>
      </c>
      <c r="G23" s="19">
        <v>60</v>
      </c>
      <c r="H23" s="19">
        <v>7.0000000000000007E-2</v>
      </c>
      <c r="I23" s="19">
        <v>0.02</v>
      </c>
      <c r="J23" s="20">
        <v>15</v>
      </c>
    </row>
    <row r="24" spans="1:11" s="33" customFormat="1" ht="30" x14ac:dyDescent="0.25">
      <c r="A24" s="56"/>
      <c r="B24" s="9" t="s">
        <v>62</v>
      </c>
      <c r="C24" s="6" t="s">
        <v>63</v>
      </c>
      <c r="D24" s="6" t="s">
        <v>64</v>
      </c>
      <c r="E24" s="21">
        <v>75</v>
      </c>
      <c r="F24" s="8">
        <v>7.29</v>
      </c>
      <c r="G24" s="8">
        <v>194</v>
      </c>
      <c r="H24" s="7">
        <v>4.1100000000000003</v>
      </c>
      <c r="I24" s="7">
        <v>1.35</v>
      </c>
      <c r="J24" s="11">
        <v>41.43</v>
      </c>
      <c r="K24"/>
    </row>
    <row r="25" spans="1:11" s="35" customFormat="1" ht="15.75" thickBot="1" x14ac:dyDescent="0.3">
      <c r="A25" s="57"/>
      <c r="B25" s="12" t="s">
        <v>41</v>
      </c>
      <c r="C25" s="13" t="s">
        <v>60</v>
      </c>
      <c r="D25" s="13" t="s">
        <v>61</v>
      </c>
      <c r="E25" s="13">
        <v>160</v>
      </c>
      <c r="F25" s="14">
        <v>33.78</v>
      </c>
      <c r="G25" s="14">
        <f>47*1.6</f>
        <v>75.2</v>
      </c>
      <c r="H25" s="14">
        <f>0.4*1.6</f>
        <v>0.64000000000000012</v>
      </c>
      <c r="I25" s="14">
        <f>0.4*1.6</f>
        <v>0.64000000000000012</v>
      </c>
      <c r="J25" s="15">
        <f>9.8*1.6</f>
        <v>15.680000000000001</v>
      </c>
    </row>
    <row r="26" spans="1:11" ht="16.5" thickBot="1" x14ac:dyDescent="0.3">
      <c r="A26" s="52" t="s">
        <v>15</v>
      </c>
      <c r="B26" s="53"/>
      <c r="C26" s="53"/>
      <c r="D26" s="53"/>
      <c r="E26" s="54"/>
      <c r="F26" s="3">
        <f>SUM(F23:F25)</f>
        <v>44.53</v>
      </c>
      <c r="G26" s="3">
        <f t="shared" ref="G26:J26" si="2">SUM(G23:G25)</f>
        <v>329.2</v>
      </c>
      <c r="H26" s="3">
        <f t="shared" si="2"/>
        <v>4.82</v>
      </c>
      <c r="I26" s="3">
        <f t="shared" si="2"/>
        <v>2.0100000000000002</v>
      </c>
      <c r="J26" s="3">
        <f t="shared" si="2"/>
        <v>72.11</v>
      </c>
      <c r="K26"/>
    </row>
    <row r="28" spans="1:11" ht="15.75" thickBot="1" x14ac:dyDescent="0.3">
      <c r="A28" s="64" t="s">
        <v>24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1" ht="15.75" x14ac:dyDescent="0.25">
      <c r="A29" s="27"/>
      <c r="B29" s="27"/>
      <c r="C29" s="63" t="s">
        <v>22</v>
      </c>
      <c r="D29" s="63"/>
      <c r="G29" s="65"/>
      <c r="H29" s="65"/>
      <c r="I29" s="65"/>
      <c r="J29" s="65"/>
    </row>
    <row r="30" spans="1:11" x14ac:dyDescent="0.25">
      <c r="A30" s="1"/>
      <c r="B30" s="1"/>
      <c r="C30" s="1"/>
      <c r="D30" s="1"/>
    </row>
    <row r="31" spans="1:11" x14ac:dyDescent="0.25">
      <c r="A31" s="51" t="s">
        <v>23</v>
      </c>
      <c r="B31" s="51"/>
    </row>
    <row r="32" spans="1:11" x14ac:dyDescent="0.25">
      <c r="A32" s="51" t="s">
        <v>25</v>
      </c>
      <c r="B32" s="51"/>
    </row>
    <row r="33" spans="1:1" x14ac:dyDescent="0.25">
      <c r="A33" s="4"/>
    </row>
  </sheetData>
  <mergeCells count="15">
    <mergeCell ref="G1:J1"/>
    <mergeCell ref="C29:D29"/>
    <mergeCell ref="A28:J28"/>
    <mergeCell ref="G29:J29"/>
    <mergeCell ref="A9:E9"/>
    <mergeCell ref="A10:A14"/>
    <mergeCell ref="A15:E15"/>
    <mergeCell ref="A16:A21"/>
    <mergeCell ref="A22:E22"/>
    <mergeCell ref="A3:A8"/>
    <mergeCell ref="A31:B31"/>
    <mergeCell ref="A32:B32"/>
    <mergeCell ref="A26:E26"/>
    <mergeCell ref="A23:A25"/>
    <mergeCell ref="B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0" workbookViewId="0">
      <selection activeCell="J30" sqref="J30"/>
    </sheetView>
  </sheetViews>
  <sheetFormatPr defaultRowHeight="15" x14ac:dyDescent="0.25"/>
  <cols>
    <col min="1" max="1" width="23.140625" style="36" customWidth="1"/>
    <col min="2" max="2" width="24.7109375" style="36" customWidth="1"/>
    <col min="3" max="3" width="12.28515625" style="36" customWidth="1"/>
    <col min="4" max="4" width="47.42578125" style="36" customWidth="1"/>
    <col min="5" max="5" width="10.140625" style="36" bestFit="1" customWidth="1"/>
    <col min="6" max="6" width="9.140625" style="36"/>
    <col min="7" max="7" width="18.140625" style="36" customWidth="1"/>
    <col min="8" max="8" width="11.42578125" style="36" bestFit="1" customWidth="1"/>
    <col min="9" max="9" width="9.140625" style="36"/>
    <col min="10" max="10" width="10.85546875" style="36" customWidth="1"/>
    <col min="11" max="16384" width="9.140625" style="36"/>
  </cols>
  <sheetData>
    <row r="1" spans="1:12" ht="15.75" thickBot="1" x14ac:dyDescent="0.3">
      <c r="A1" s="1" t="s">
        <v>0</v>
      </c>
      <c r="B1" s="58" t="s">
        <v>21</v>
      </c>
      <c r="C1" s="59"/>
      <c r="D1" s="1" t="s">
        <v>1</v>
      </c>
      <c r="E1" s="30"/>
      <c r="F1" s="1" t="s">
        <v>2</v>
      </c>
      <c r="G1" s="60">
        <v>44694</v>
      </c>
      <c r="H1" s="61"/>
      <c r="I1" s="61"/>
      <c r="J1" s="62"/>
      <c r="K1" s="1"/>
      <c r="L1" s="1"/>
    </row>
    <row r="2" spans="1:12" ht="15.75" thickBot="1" x14ac:dyDescent="0.3">
      <c r="A2" s="34" t="s">
        <v>3</v>
      </c>
      <c r="B2" s="5" t="s">
        <v>4</v>
      </c>
      <c r="C2" s="38" t="s">
        <v>5</v>
      </c>
      <c r="D2" s="34" t="s">
        <v>6</v>
      </c>
      <c r="E2" s="34" t="s">
        <v>7</v>
      </c>
      <c r="F2" s="34" t="s">
        <v>8</v>
      </c>
      <c r="G2" s="34" t="s">
        <v>9</v>
      </c>
      <c r="H2" s="34" t="s">
        <v>10</v>
      </c>
      <c r="I2" s="34" t="s">
        <v>11</v>
      </c>
      <c r="J2" s="34" t="s">
        <v>12</v>
      </c>
    </row>
    <row r="3" spans="1:12" s="43" customFormat="1" x14ac:dyDescent="0.25">
      <c r="A3" s="75" t="s">
        <v>42</v>
      </c>
      <c r="B3" s="16" t="s">
        <v>30</v>
      </c>
      <c r="C3" s="17" t="s">
        <v>37</v>
      </c>
      <c r="D3" s="17" t="s">
        <v>39</v>
      </c>
      <c r="E3" s="26">
        <v>15</v>
      </c>
      <c r="F3" s="26">
        <v>2.2599999999999998</v>
      </c>
      <c r="G3" s="49">
        <v>1.8</v>
      </c>
      <c r="H3" s="49">
        <v>0.09</v>
      </c>
      <c r="I3" s="49">
        <v>0.02</v>
      </c>
      <c r="J3" s="50">
        <v>0.28499999999999998</v>
      </c>
    </row>
    <row r="4" spans="1:12" s="48" customFormat="1" x14ac:dyDescent="0.25">
      <c r="A4" s="75"/>
      <c r="B4" s="9" t="s">
        <v>13</v>
      </c>
      <c r="C4" s="6" t="s">
        <v>33</v>
      </c>
      <c r="D4" s="6" t="s">
        <v>34</v>
      </c>
      <c r="E4" s="21">
        <v>70</v>
      </c>
      <c r="F4" s="8">
        <v>49.16</v>
      </c>
      <c r="G4" s="8">
        <f>144*1.4</f>
        <v>201.6</v>
      </c>
      <c r="H4" s="8">
        <f>8.37*1.4</f>
        <v>11.717999999999998</v>
      </c>
      <c r="I4" s="8">
        <f>9.17*1.4</f>
        <v>12.837999999999999</v>
      </c>
      <c r="J4" s="10">
        <f>6.56*1.4</f>
        <v>9.1839999999999993</v>
      </c>
    </row>
    <row r="5" spans="1:12" x14ac:dyDescent="0.25">
      <c r="A5" s="75"/>
      <c r="B5" s="79" t="s">
        <v>17</v>
      </c>
      <c r="C5" s="80" t="s">
        <v>51</v>
      </c>
      <c r="D5" s="80" t="s">
        <v>52</v>
      </c>
      <c r="E5" s="81">
        <v>130</v>
      </c>
      <c r="F5" s="82">
        <v>10.84</v>
      </c>
      <c r="G5" s="83">
        <f>139.8*1.3</f>
        <v>181.74</v>
      </c>
      <c r="H5" s="83">
        <f>2.43*1.3</f>
        <v>3.1590000000000003</v>
      </c>
      <c r="I5" s="83">
        <f>3.58*1.3</f>
        <v>4.6539999999999999</v>
      </c>
      <c r="J5" s="84">
        <f>24.46*1.3</f>
        <v>31.798000000000002</v>
      </c>
    </row>
    <row r="6" spans="1:12" x14ac:dyDescent="0.25">
      <c r="A6" s="75"/>
      <c r="B6" s="9" t="s">
        <v>18</v>
      </c>
      <c r="C6" s="6" t="s">
        <v>19</v>
      </c>
      <c r="D6" s="6" t="s">
        <v>20</v>
      </c>
      <c r="E6" s="21" t="s">
        <v>32</v>
      </c>
      <c r="F6" s="8">
        <v>3.46</v>
      </c>
      <c r="G6" s="8">
        <v>60</v>
      </c>
      <c r="H6" s="8">
        <v>7.0000000000000007E-2</v>
      </c>
      <c r="I6" s="8">
        <v>0.02</v>
      </c>
      <c r="J6" s="10">
        <v>15</v>
      </c>
    </row>
    <row r="7" spans="1:12" x14ac:dyDescent="0.25">
      <c r="A7" s="75"/>
      <c r="B7" s="9" t="s">
        <v>36</v>
      </c>
      <c r="C7" s="6" t="s">
        <v>35</v>
      </c>
      <c r="D7" s="6" t="s">
        <v>48</v>
      </c>
      <c r="E7" s="21">
        <v>15</v>
      </c>
      <c r="F7" s="8">
        <v>3.16</v>
      </c>
      <c r="G7" s="8">
        <f>480*0.15</f>
        <v>72</v>
      </c>
      <c r="H7" s="7">
        <f>8.5*0.15</f>
        <v>1.2749999999999999</v>
      </c>
      <c r="I7" s="7">
        <f>18*0.15</f>
        <v>2.6999999999999997</v>
      </c>
      <c r="J7" s="11">
        <f>70*0.15</f>
        <v>10.5</v>
      </c>
    </row>
    <row r="8" spans="1:12" ht="15.75" thickBot="1" x14ac:dyDescent="0.3">
      <c r="A8" s="76"/>
      <c r="B8" s="12" t="s">
        <v>14</v>
      </c>
      <c r="C8" s="13" t="s">
        <v>40</v>
      </c>
      <c r="D8" s="13" t="s">
        <v>31</v>
      </c>
      <c r="E8" s="22">
        <v>14</v>
      </c>
      <c r="F8" s="23">
        <v>0.62</v>
      </c>
      <c r="G8" s="23">
        <f>229.7*0.14</f>
        <v>32.158000000000001</v>
      </c>
      <c r="H8" s="14">
        <f>6.7*0.14</f>
        <v>0.93800000000000017</v>
      </c>
      <c r="I8" s="14">
        <f>1.1*0.14</f>
        <v>0.15400000000000003</v>
      </c>
      <c r="J8" s="15">
        <f>48.3*0.14</f>
        <v>6.7620000000000005</v>
      </c>
    </row>
    <row r="9" spans="1:12" ht="16.5" thickBot="1" x14ac:dyDescent="0.3">
      <c r="A9" s="52" t="s">
        <v>15</v>
      </c>
      <c r="B9" s="66"/>
      <c r="C9" s="66"/>
      <c r="D9" s="66"/>
      <c r="E9" s="67"/>
      <c r="F9" s="24">
        <f>SUM(F3:F8)</f>
        <v>69.499999999999986</v>
      </c>
      <c r="G9" s="24">
        <f>SUM(G3:G8)</f>
        <v>549.298</v>
      </c>
      <c r="H9" s="24">
        <f>SUM(H3:H8)</f>
        <v>17.249999999999996</v>
      </c>
      <c r="I9" s="24">
        <f>SUM(I3:I8)</f>
        <v>20.385999999999999</v>
      </c>
      <c r="J9" s="24">
        <f>SUM(J3:J8)</f>
        <v>73.528999999999996</v>
      </c>
    </row>
    <row r="10" spans="1:12" x14ac:dyDescent="0.25">
      <c r="A10" s="75" t="s">
        <v>44</v>
      </c>
      <c r="B10" s="25" t="s">
        <v>13</v>
      </c>
      <c r="C10" s="26" t="s">
        <v>33</v>
      </c>
      <c r="D10" s="26" t="s">
        <v>34</v>
      </c>
      <c r="E10" s="18">
        <v>24</v>
      </c>
      <c r="F10" s="19">
        <v>16.850000000000001</v>
      </c>
      <c r="G10" s="19">
        <f>144/50*24</f>
        <v>69.12</v>
      </c>
      <c r="H10" s="19">
        <f>8.37/50*24</f>
        <v>4.0175999999999998</v>
      </c>
      <c r="I10" s="19">
        <f>9.17/50*24</f>
        <v>4.4016000000000002</v>
      </c>
      <c r="J10" s="20">
        <f>6.56/50*24</f>
        <v>3.1487999999999996</v>
      </c>
    </row>
    <row r="11" spans="1:12" s="48" customFormat="1" x14ac:dyDescent="0.25">
      <c r="A11" s="75"/>
      <c r="B11" s="79" t="s">
        <v>17</v>
      </c>
      <c r="C11" s="80" t="s">
        <v>51</v>
      </c>
      <c r="D11" s="80" t="s">
        <v>52</v>
      </c>
      <c r="E11" s="81">
        <v>70</v>
      </c>
      <c r="F11" s="82">
        <v>5.83</v>
      </c>
      <c r="G11" s="83">
        <f>139.8/10*7</f>
        <v>97.86</v>
      </c>
      <c r="H11" s="83">
        <f>2.43/10*7</f>
        <v>1.7010000000000001</v>
      </c>
      <c r="I11" s="83">
        <f>3.58/10*7</f>
        <v>2.5059999999999998</v>
      </c>
      <c r="J11" s="84">
        <f>24.46/10*7</f>
        <v>17.122</v>
      </c>
    </row>
    <row r="12" spans="1:12" x14ac:dyDescent="0.25">
      <c r="A12" s="75"/>
      <c r="B12" s="9" t="s">
        <v>18</v>
      </c>
      <c r="C12" s="6" t="s">
        <v>19</v>
      </c>
      <c r="D12" s="6" t="s">
        <v>20</v>
      </c>
      <c r="E12" s="21" t="s">
        <v>32</v>
      </c>
      <c r="F12" s="8">
        <v>3.46</v>
      </c>
      <c r="G12" s="8">
        <v>60</v>
      </c>
      <c r="H12" s="8">
        <v>7.0000000000000007E-2</v>
      </c>
      <c r="I12" s="8">
        <v>0.02</v>
      </c>
      <c r="J12" s="10">
        <v>15</v>
      </c>
      <c r="K12"/>
    </row>
    <row r="13" spans="1:12" ht="15.75" thickBot="1" x14ac:dyDescent="0.3">
      <c r="A13" s="75"/>
      <c r="B13" s="12" t="s">
        <v>14</v>
      </c>
      <c r="C13" s="13" t="s">
        <v>43</v>
      </c>
      <c r="D13" s="13" t="s">
        <v>31</v>
      </c>
      <c r="E13" s="22">
        <v>19.5</v>
      </c>
      <c r="F13" s="23">
        <v>0.86</v>
      </c>
      <c r="G13" s="23">
        <f>229.7*0.195</f>
        <v>44.791499999999999</v>
      </c>
      <c r="H13" s="14">
        <f>6.7*0.195</f>
        <v>1.3065</v>
      </c>
      <c r="I13" s="14">
        <f>1.1*0.195</f>
        <v>0.21450000000000002</v>
      </c>
      <c r="J13" s="15">
        <f>48.3*0.195</f>
        <v>9.4184999999999999</v>
      </c>
    </row>
    <row r="14" spans="1:12" ht="16.5" thickBot="1" x14ac:dyDescent="0.3">
      <c r="A14" s="52" t="s">
        <v>15</v>
      </c>
      <c r="B14" s="66"/>
      <c r="C14" s="66"/>
      <c r="D14" s="66"/>
      <c r="E14" s="67"/>
      <c r="F14" s="24">
        <f>SUM(F10:F13)</f>
        <v>27</v>
      </c>
      <c r="G14" s="24">
        <f>SUM(G10:G13)</f>
        <v>271.7715</v>
      </c>
      <c r="H14" s="24">
        <f>SUM(H10:H13)</f>
        <v>7.0951000000000004</v>
      </c>
      <c r="I14" s="24">
        <f>SUM(I10:I13)</f>
        <v>7.1421000000000001</v>
      </c>
      <c r="J14" s="24">
        <f>SUM(J10:J13)</f>
        <v>44.689300000000003</v>
      </c>
    </row>
    <row r="15" spans="1:12" x14ac:dyDescent="0.25">
      <c r="A15" s="75" t="s">
        <v>45</v>
      </c>
      <c r="B15" s="25" t="s">
        <v>30</v>
      </c>
      <c r="C15" s="26" t="s">
        <v>49</v>
      </c>
      <c r="D15" s="26" t="s">
        <v>50</v>
      </c>
      <c r="E15" s="46" t="s">
        <v>70</v>
      </c>
      <c r="F15" s="19">
        <v>3.54</v>
      </c>
      <c r="G15" s="19">
        <v>70.94</v>
      </c>
      <c r="H15" s="19">
        <v>1.38</v>
      </c>
      <c r="I15" s="19">
        <v>0.22</v>
      </c>
      <c r="J15" s="20">
        <v>16.16</v>
      </c>
      <c r="K15"/>
    </row>
    <row r="16" spans="1:12" ht="15.75" thickBot="1" x14ac:dyDescent="0.3">
      <c r="A16" s="75"/>
      <c r="B16" s="12" t="s">
        <v>18</v>
      </c>
      <c r="C16" s="13" t="s">
        <v>19</v>
      </c>
      <c r="D16" s="13" t="s">
        <v>20</v>
      </c>
      <c r="E16" s="22" t="s">
        <v>32</v>
      </c>
      <c r="F16" s="41">
        <v>3.46</v>
      </c>
      <c r="G16" s="41">
        <v>60</v>
      </c>
      <c r="H16" s="41">
        <v>7.0000000000000007E-2</v>
      </c>
      <c r="I16" s="41">
        <v>0.02</v>
      </c>
      <c r="J16" s="42">
        <v>15</v>
      </c>
    </row>
    <row r="17" spans="1:11" ht="16.5" thickBot="1" x14ac:dyDescent="0.3">
      <c r="A17" s="70" t="s">
        <v>15</v>
      </c>
      <c r="B17" s="77"/>
      <c r="C17" s="77"/>
      <c r="D17" s="77"/>
      <c r="E17" s="78"/>
      <c r="F17" s="39">
        <f>SUM(F15:F16)</f>
        <v>7</v>
      </c>
      <c r="G17" s="39">
        <f>SUM(G15:G16)</f>
        <v>130.94</v>
      </c>
      <c r="H17" s="39">
        <f>SUM(H15:H16)</f>
        <v>1.45</v>
      </c>
      <c r="I17" s="39">
        <f>SUM(I15:I16)</f>
        <v>0.24</v>
      </c>
      <c r="J17" s="40">
        <f>SUM(J15:J16)</f>
        <v>31.16</v>
      </c>
      <c r="K17"/>
    </row>
    <row r="18" spans="1:11" x14ac:dyDescent="0.25">
      <c r="A18" s="68" t="s">
        <v>46</v>
      </c>
      <c r="B18" s="25" t="s">
        <v>16</v>
      </c>
      <c r="C18" s="26" t="s">
        <v>57</v>
      </c>
      <c r="D18" s="26" t="s">
        <v>65</v>
      </c>
      <c r="E18" s="18" t="s">
        <v>38</v>
      </c>
      <c r="F18" s="19">
        <v>16.510000000000002</v>
      </c>
      <c r="G18" s="19">
        <f>415*0.25+162*0</f>
        <v>103.75</v>
      </c>
      <c r="H18" s="19">
        <f>7.21*0.25+2.6*0</f>
        <v>1.8025</v>
      </c>
      <c r="I18" s="19">
        <f>19.68*0.25+15*0</f>
        <v>4.92</v>
      </c>
      <c r="J18" s="20">
        <f>43.73*0.25+3.6*0</f>
        <v>10.932499999999999</v>
      </c>
      <c r="K18"/>
    </row>
    <row r="19" spans="1:11" x14ac:dyDescent="0.25">
      <c r="A19" s="69"/>
      <c r="B19" s="9" t="s">
        <v>13</v>
      </c>
      <c r="C19" s="6" t="s">
        <v>53</v>
      </c>
      <c r="D19" s="6" t="s">
        <v>54</v>
      </c>
      <c r="E19" s="21">
        <v>20</v>
      </c>
      <c r="F19" s="8">
        <v>16.43</v>
      </c>
      <c r="G19" s="28">
        <f>129.15/50*20</f>
        <v>51.660000000000004</v>
      </c>
      <c r="H19" s="28">
        <f>17.2/50*20</f>
        <v>6.879999999999999</v>
      </c>
      <c r="I19" s="28">
        <f>3.8/50*20</f>
        <v>1.52</v>
      </c>
      <c r="J19" s="29">
        <f>6.6/50*20</f>
        <v>2.64</v>
      </c>
    </row>
    <row r="20" spans="1:11" s="48" customFormat="1" x14ac:dyDescent="0.25">
      <c r="A20" s="69"/>
      <c r="B20" s="9" t="s">
        <v>17</v>
      </c>
      <c r="C20" s="6" t="s">
        <v>55</v>
      </c>
      <c r="D20" s="6" t="s">
        <v>56</v>
      </c>
      <c r="E20" s="21">
        <v>80</v>
      </c>
      <c r="F20" s="8">
        <v>5.97</v>
      </c>
      <c r="G20" s="28">
        <f>1123*0.08</f>
        <v>89.84</v>
      </c>
      <c r="H20" s="28">
        <f>36.78*0.08</f>
        <v>2.9424000000000001</v>
      </c>
      <c r="I20" s="28">
        <f>30.1*0.08</f>
        <v>2.4080000000000004</v>
      </c>
      <c r="J20" s="29">
        <f>176.3*0.08</f>
        <v>14.104000000000001</v>
      </c>
    </row>
    <row r="21" spans="1:11" x14ac:dyDescent="0.25">
      <c r="A21" s="69"/>
      <c r="B21" s="9" t="s">
        <v>18</v>
      </c>
      <c r="C21" s="6" t="s">
        <v>19</v>
      </c>
      <c r="D21" s="6" t="s">
        <v>20</v>
      </c>
      <c r="E21" s="21" t="s">
        <v>32</v>
      </c>
      <c r="F21" s="8">
        <v>3.46</v>
      </c>
      <c r="G21" s="8">
        <v>60</v>
      </c>
      <c r="H21" s="8">
        <v>7.0000000000000007E-2</v>
      </c>
      <c r="I21" s="8">
        <v>0.02</v>
      </c>
      <c r="J21" s="10">
        <v>15</v>
      </c>
    </row>
    <row r="22" spans="1:11" ht="15" customHeight="1" thickBot="1" x14ac:dyDescent="0.3">
      <c r="A22" s="69"/>
      <c r="B22" s="12" t="s">
        <v>14</v>
      </c>
      <c r="C22" s="13" t="s">
        <v>40</v>
      </c>
      <c r="D22" s="13" t="s">
        <v>31</v>
      </c>
      <c r="E22" s="22">
        <v>59.5</v>
      </c>
      <c r="F22" s="23">
        <v>2.63</v>
      </c>
      <c r="G22" s="23">
        <f>229.7*0.595</f>
        <v>136.67149999999998</v>
      </c>
      <c r="H22" s="14">
        <f>6.7*0.595</f>
        <v>3.9864999999999999</v>
      </c>
      <c r="I22" s="14">
        <f>1.1*0.595</f>
        <v>0.65449999999999997</v>
      </c>
      <c r="J22" s="15">
        <f>48.3*0.595</f>
        <v>28.738499999999998</v>
      </c>
    </row>
    <row r="23" spans="1:11" ht="16.5" thickBot="1" x14ac:dyDescent="0.3">
      <c r="A23" s="70" t="s">
        <v>15</v>
      </c>
      <c r="B23" s="71"/>
      <c r="C23" s="71"/>
      <c r="D23" s="71"/>
      <c r="E23" s="72"/>
      <c r="F23" s="32">
        <f>SUM(F18:F22)</f>
        <v>45</v>
      </c>
      <c r="G23" s="32">
        <f>SUM(G18:G22)</f>
        <v>441.92149999999998</v>
      </c>
      <c r="H23" s="32">
        <f>SUM(H18:H22)</f>
        <v>15.6814</v>
      </c>
      <c r="I23" s="32">
        <f>SUM(I18:I22)</f>
        <v>9.5224999999999991</v>
      </c>
      <c r="J23" s="32">
        <f>SUM(J18:J22)</f>
        <v>71.415000000000006</v>
      </c>
      <c r="K23"/>
    </row>
    <row r="24" spans="1:11" ht="30" x14ac:dyDescent="0.25">
      <c r="A24" s="74" t="s">
        <v>47</v>
      </c>
      <c r="B24" s="25" t="s">
        <v>16</v>
      </c>
      <c r="C24" s="26" t="s">
        <v>57</v>
      </c>
      <c r="D24" s="26" t="s">
        <v>58</v>
      </c>
      <c r="E24" s="18" t="s">
        <v>59</v>
      </c>
      <c r="F24" s="19">
        <v>19.63</v>
      </c>
      <c r="G24" s="19">
        <f>415*0.25+162*0.1</f>
        <v>119.95</v>
      </c>
      <c r="H24" s="19">
        <f>7.21*0.25+2.6*0.1</f>
        <v>2.0625</v>
      </c>
      <c r="I24" s="19">
        <f>19.68*0.25+15*0.1</f>
        <v>6.42</v>
      </c>
      <c r="J24" s="20">
        <f>43.73*0.25+3.6*0.1</f>
        <v>11.292499999999999</v>
      </c>
    </row>
    <row r="25" spans="1:11" x14ac:dyDescent="0.25">
      <c r="A25" s="75"/>
      <c r="B25" s="9" t="s">
        <v>13</v>
      </c>
      <c r="C25" s="6" t="s">
        <v>53</v>
      </c>
      <c r="D25" s="6" t="s">
        <v>54</v>
      </c>
      <c r="E25" s="21">
        <v>40</v>
      </c>
      <c r="F25" s="8">
        <v>32.86</v>
      </c>
      <c r="G25" s="28">
        <f>129.15/50*40</f>
        <v>103.32000000000001</v>
      </c>
      <c r="H25" s="28">
        <f>17.2/50*40</f>
        <v>13.759999999999998</v>
      </c>
      <c r="I25" s="28">
        <f>3.8/50*40</f>
        <v>3.04</v>
      </c>
      <c r="J25" s="29">
        <f>6.6/50*40</f>
        <v>5.28</v>
      </c>
    </row>
    <row r="26" spans="1:11" x14ac:dyDescent="0.25">
      <c r="A26" s="75"/>
      <c r="B26" s="9" t="s">
        <v>17</v>
      </c>
      <c r="C26" s="6" t="s">
        <v>55</v>
      </c>
      <c r="D26" s="6" t="s">
        <v>56</v>
      </c>
      <c r="E26" s="21">
        <v>120</v>
      </c>
      <c r="F26" s="8">
        <v>8.9499999999999993</v>
      </c>
      <c r="G26" s="28">
        <f>1123*0.12</f>
        <v>134.76</v>
      </c>
      <c r="H26" s="28">
        <f>36.78*0.12</f>
        <v>4.4135999999999997</v>
      </c>
      <c r="I26" s="28">
        <f>30.1*0.12</f>
        <v>3.6120000000000001</v>
      </c>
      <c r="J26" s="29">
        <f>176.3*0.12</f>
        <v>21.155999999999999</v>
      </c>
    </row>
    <row r="27" spans="1:11" s="48" customFormat="1" x14ac:dyDescent="0.25">
      <c r="A27" s="75"/>
      <c r="B27" s="9" t="s">
        <v>18</v>
      </c>
      <c r="C27" s="6" t="s">
        <v>19</v>
      </c>
      <c r="D27" s="6" t="s">
        <v>20</v>
      </c>
      <c r="E27" s="21" t="s">
        <v>32</v>
      </c>
      <c r="F27" s="8">
        <v>3.46</v>
      </c>
      <c r="G27" s="8">
        <v>60</v>
      </c>
      <c r="H27" s="8">
        <v>7.0000000000000007E-2</v>
      </c>
      <c r="I27" s="8">
        <v>0.02</v>
      </c>
      <c r="J27" s="10">
        <v>15</v>
      </c>
    </row>
    <row r="28" spans="1:11" x14ac:dyDescent="0.25">
      <c r="A28" s="75"/>
      <c r="B28" s="9" t="s">
        <v>62</v>
      </c>
      <c r="C28" s="6" t="s">
        <v>68</v>
      </c>
      <c r="D28" s="6" t="s">
        <v>69</v>
      </c>
      <c r="E28" s="21">
        <v>50</v>
      </c>
      <c r="F28" s="8">
        <v>4.1100000000000003</v>
      </c>
      <c r="G28" s="8">
        <v>160.5</v>
      </c>
      <c r="H28" s="7">
        <v>3.39</v>
      </c>
      <c r="I28" s="7">
        <v>6.98</v>
      </c>
      <c r="J28" s="11">
        <v>21.07</v>
      </c>
    </row>
    <row r="29" spans="1:11" ht="15.75" customHeight="1" thickBot="1" x14ac:dyDescent="0.3">
      <c r="A29" s="75"/>
      <c r="B29" s="12" t="s">
        <v>14</v>
      </c>
      <c r="C29" s="13" t="s">
        <v>40</v>
      </c>
      <c r="D29" s="13" t="s">
        <v>31</v>
      </c>
      <c r="E29" s="22">
        <v>11</v>
      </c>
      <c r="F29" s="23">
        <v>0.49</v>
      </c>
      <c r="G29" s="23">
        <f>229.7*0.11</f>
        <v>25.266999999999999</v>
      </c>
      <c r="H29" s="14">
        <f>6.7*0.11</f>
        <v>0.73699999999999999</v>
      </c>
      <c r="I29" s="14">
        <f>1.1*0.11</f>
        <v>0.12100000000000001</v>
      </c>
      <c r="J29" s="15">
        <f>48.3*0.11</f>
        <v>5.3129999999999997</v>
      </c>
    </row>
    <row r="30" spans="1:11" ht="15" customHeight="1" thickBot="1" x14ac:dyDescent="0.3">
      <c r="A30" s="70" t="s">
        <v>15</v>
      </c>
      <c r="B30" s="77"/>
      <c r="C30" s="77"/>
      <c r="D30" s="77"/>
      <c r="E30" s="78"/>
      <c r="F30" s="39">
        <f>SUM(F24:F29)</f>
        <v>69.499999999999986</v>
      </c>
      <c r="G30" s="39">
        <f>SUM(G24:G29)</f>
        <v>603.79700000000003</v>
      </c>
      <c r="H30" s="39">
        <f>SUM(H24:H29)</f>
        <v>24.433099999999996</v>
      </c>
      <c r="I30" s="39">
        <f>SUM(I24:I29)</f>
        <v>20.193000000000001</v>
      </c>
      <c r="J30" s="40">
        <f>SUM(J24:J29)</f>
        <v>79.111499999999992</v>
      </c>
    </row>
    <row r="31" spans="1:11" ht="15" customHeight="1" x14ac:dyDescent="0.25"/>
    <row r="32" spans="1:11" ht="15.75" thickBot="1" x14ac:dyDescent="0.3">
      <c r="A32" s="64" t="s">
        <v>24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75" x14ac:dyDescent="0.25">
      <c r="A33" s="27"/>
      <c r="B33" s="27"/>
      <c r="C33" s="63" t="s">
        <v>22</v>
      </c>
      <c r="D33" s="63"/>
      <c r="G33" s="65"/>
      <c r="H33" s="65"/>
      <c r="I33" s="65"/>
      <c r="J33" s="65"/>
    </row>
    <row r="34" spans="1:10" x14ac:dyDescent="0.25">
      <c r="A34" s="1"/>
      <c r="B34" s="1"/>
      <c r="C34" s="1"/>
      <c r="D34" s="1"/>
    </row>
    <row r="35" spans="1:10" x14ac:dyDescent="0.25">
      <c r="A35" s="51" t="s">
        <v>23</v>
      </c>
      <c r="B35" s="51"/>
    </row>
    <row r="36" spans="1:10" x14ac:dyDescent="0.25">
      <c r="A36" s="51" t="s">
        <v>25</v>
      </c>
      <c r="B36" s="51"/>
    </row>
    <row r="37" spans="1:10" x14ac:dyDescent="0.25">
      <c r="A37" s="37"/>
    </row>
  </sheetData>
  <mergeCells count="17">
    <mergeCell ref="A32:J32"/>
    <mergeCell ref="C33:D33"/>
    <mergeCell ref="G33:J33"/>
    <mergeCell ref="A35:B35"/>
    <mergeCell ref="A36:B36"/>
    <mergeCell ref="A30:E30"/>
    <mergeCell ref="B1:C1"/>
    <mergeCell ref="G1:J1"/>
    <mergeCell ref="A3:A8"/>
    <mergeCell ref="A9:E9"/>
    <mergeCell ref="A10:A13"/>
    <mergeCell ref="A14:E14"/>
    <mergeCell ref="A15:A16"/>
    <mergeCell ref="A17:E17"/>
    <mergeCell ref="A18:A22"/>
    <mergeCell ref="A23:E23"/>
    <mergeCell ref="A24:A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13.05 1-4 кл</vt:lpstr>
      <vt:lpstr>13.05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2022-05-12T10:41:53Z</dcterms:modified>
</cp:coreProperties>
</file>