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F29" i="2"/>
  <c r="J26" i="2"/>
  <c r="I26" i="2"/>
  <c r="H26" i="2"/>
  <c r="G26" i="2"/>
  <c r="J25" i="2"/>
  <c r="I25" i="2"/>
  <c r="H25" i="2"/>
  <c r="G25" i="2"/>
  <c r="J24" i="2"/>
  <c r="I24" i="2"/>
  <c r="H24" i="2"/>
  <c r="G24" i="2"/>
  <c r="J22" i="2"/>
  <c r="I22" i="2"/>
  <c r="H22" i="2"/>
  <c r="G22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5" i="2"/>
  <c r="I15" i="2"/>
  <c r="H15" i="2"/>
  <c r="G15" i="2"/>
  <c r="J12" i="2"/>
  <c r="I12" i="2"/>
  <c r="H12" i="2"/>
  <c r="G12" i="2"/>
  <c r="J10" i="2"/>
  <c r="I10" i="2"/>
  <c r="H10" i="2"/>
  <c r="G10" i="2"/>
  <c r="G9" i="2"/>
  <c r="H9" i="2"/>
  <c r="I9" i="2"/>
  <c r="J9" i="2"/>
  <c r="F9" i="2"/>
  <c r="J8" i="2"/>
  <c r="I8" i="2"/>
  <c r="H8" i="2"/>
  <c r="G8" i="2"/>
  <c r="J5" i="2"/>
  <c r="I5" i="2"/>
  <c r="H5" i="2"/>
  <c r="G5" i="2"/>
  <c r="J3" i="2"/>
  <c r="I3" i="2"/>
  <c r="H3" i="2"/>
  <c r="G3" i="2"/>
  <c r="J26" i="1"/>
  <c r="I26" i="1"/>
  <c r="H26" i="1"/>
  <c r="G26" i="1"/>
  <c r="J25" i="1"/>
  <c r="I25" i="1"/>
  <c r="H25" i="1"/>
  <c r="G25" i="1"/>
  <c r="J22" i="1"/>
  <c r="I22" i="1"/>
  <c r="H22" i="1"/>
  <c r="G22" i="1"/>
  <c r="G23" i="1"/>
  <c r="H23" i="1"/>
  <c r="I23" i="1"/>
  <c r="J23" i="1"/>
  <c r="F23" i="1"/>
  <c r="J16" i="1"/>
  <c r="I16" i="1"/>
  <c r="H16" i="1"/>
  <c r="G16" i="1"/>
  <c r="J18" i="1" l="1"/>
  <c r="I18" i="1"/>
  <c r="H18" i="1"/>
  <c r="G18" i="1"/>
  <c r="J19" i="1"/>
  <c r="I19" i="1"/>
  <c r="H19" i="1"/>
  <c r="G19" i="1"/>
  <c r="J17" i="1"/>
  <c r="I17" i="1"/>
  <c r="H17" i="1"/>
  <c r="G17" i="1"/>
  <c r="J14" i="1"/>
  <c r="I14" i="1"/>
  <c r="H14" i="1"/>
  <c r="G14" i="1"/>
  <c r="J12" i="1"/>
  <c r="I12" i="1"/>
  <c r="H12" i="1"/>
  <c r="G12" i="1"/>
  <c r="J11" i="1"/>
  <c r="I11" i="1"/>
  <c r="H11" i="1"/>
  <c r="G11" i="1"/>
  <c r="G9" i="1"/>
  <c r="H9" i="1"/>
  <c r="I9" i="1"/>
  <c r="J9" i="1"/>
  <c r="F9" i="1"/>
  <c r="J8" i="1"/>
  <c r="I8" i="1"/>
  <c r="H8" i="1"/>
  <c r="G8" i="1"/>
  <c r="J7" i="1"/>
  <c r="I7" i="1"/>
  <c r="H7" i="1"/>
  <c r="G7" i="1"/>
  <c r="J5" i="1"/>
  <c r="I5" i="1"/>
  <c r="H5" i="1"/>
  <c r="G5" i="1"/>
  <c r="J4" i="1"/>
  <c r="I4" i="1"/>
  <c r="H4" i="1"/>
  <c r="G4" i="1"/>
  <c r="J3" i="1"/>
  <c r="I3" i="1"/>
  <c r="H3" i="1"/>
  <c r="G3" i="1"/>
  <c r="J10" i="1" l="1"/>
  <c r="I10" i="1"/>
  <c r="H10" i="1"/>
  <c r="G10" i="1"/>
  <c r="F27" i="1"/>
  <c r="J27" i="1"/>
  <c r="I27" i="1"/>
  <c r="H27" i="1"/>
  <c r="G27" i="1"/>
  <c r="G16" i="2" l="1"/>
  <c r="F15" i="1" l="1"/>
  <c r="J29" i="2" l="1"/>
  <c r="H29" i="2"/>
  <c r="G29" i="2"/>
  <c r="I29" i="2"/>
  <c r="J15" i="1" l="1"/>
  <c r="H15" i="1"/>
  <c r="G15" i="1"/>
  <c r="I15" i="1" l="1"/>
  <c r="F16" i="2" l="1"/>
  <c r="H16" i="2"/>
  <c r="F13" i="2"/>
  <c r="G13" i="2" l="1"/>
  <c r="I13" i="2"/>
  <c r="J16" i="2"/>
  <c r="H13" i="2"/>
  <c r="J13" i="2"/>
  <c r="I16" i="2"/>
  <c r="F23" i="2" l="1"/>
  <c r="J23" i="2" l="1"/>
  <c r="I23" i="2"/>
  <c r="H23" i="2"/>
  <c r="G23" i="2"/>
</calcChain>
</file>

<file path=xl/sharedStrings.xml><?xml version="1.0" encoding="utf-8"?>
<sst xmlns="http://schemas.openxmlformats.org/spreadsheetml/2006/main" count="196" uniqueCount="72">
  <si>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</si>
  <si>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</si>
  <si>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</si>
  <si>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</si>
  <si>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</si>
  <si>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</si>
  <si>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</si>
  <si>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</si>
  <si>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</si>
  <si>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</si>
  <si>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</si>
  <si>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</si>
  <si>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</si>
  <si>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</si>
  <si>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</si>
  <si>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</si>
  <si>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</si>
  <si>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</si>
  <si>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</si>
  <si>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</si>
  <si>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</si>
  <si>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</si>
  <si>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</si>
  <si>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</si>
  <si>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</si>
  <si>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</si>
  <si>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</si>
  <si>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</si>
  <si>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</si>
  <si>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</si>
  <si>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</si>
  <si>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</si>
  <si>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</si>
  <si>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</si>
  <si>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</si>
  <si>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</si>
  <si>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</si>
  <si>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</si>
  <si>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>Напиток</t>
  </si>
  <si>
    <t xml:space="preserve">Обед дети-инвалиды 5-11 кл 1 смена </t>
  </si>
  <si>
    <t>Обед 6-7 кл. 2-я смена</t>
  </si>
  <si>
    <t>№309-2015г.</t>
  </si>
  <si>
    <t>Макароны отварные</t>
  </si>
  <si>
    <t>ТТК №18</t>
  </si>
  <si>
    <t>Филе цыплёнка запечённое</t>
  </si>
  <si>
    <t>Кондитерское изделие</t>
  </si>
  <si>
    <t>ПР</t>
  </si>
  <si>
    <t>Молочный коктейль "Авишка" 2,5 %</t>
  </si>
  <si>
    <t>№424-2015г.</t>
  </si>
  <si>
    <t>Булочка домашняя</t>
  </si>
  <si>
    <t>№686-2004г.</t>
  </si>
  <si>
    <t>Чай с лимоном</t>
  </si>
  <si>
    <t>200/15/7</t>
  </si>
  <si>
    <t>Макароны отварные с сыром</t>
  </si>
  <si>
    <t>№88-2015г.</t>
  </si>
  <si>
    <t>Фрукт</t>
  </si>
  <si>
    <t>№338-2015г.</t>
  </si>
  <si>
    <t>Фрукт свежий (яблоко)</t>
  </si>
  <si>
    <t>№268-2015г.</t>
  </si>
  <si>
    <t>Котлета из свинины</t>
  </si>
  <si>
    <t>Щи из свежей капусты с картофелем со сметаной</t>
  </si>
  <si>
    <t>250/10</t>
  </si>
  <si>
    <t>№304-2015г.</t>
  </si>
  <si>
    <t>Рис отварной</t>
  </si>
  <si>
    <t>Печенье "Весёлая ярмарка"</t>
  </si>
  <si>
    <t>№71-2015г.</t>
  </si>
  <si>
    <t>Овощи натуральные свежие (помидоры)</t>
  </si>
  <si>
    <t>Зефир бело-розовый</t>
  </si>
  <si>
    <t>Овощи натуральные свежие (огурцы)</t>
  </si>
  <si>
    <t>ТТК №6</t>
  </si>
  <si>
    <t>Булочка "Рулетик с маком"</t>
  </si>
  <si>
    <t>120/10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</si>
</sst>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0" xfId="0" applyFont="1"/>
    <xf numFmtId="2" fontId="2" fillId="0" borderId="28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2" fontId="5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/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right" vertical="center" wrapText="1"/>
    </xf>
    <xf numFmtId="2" fontId="1" fillId="0" borderId="41" xfId="0" applyNumberFormat="1" applyFont="1" applyBorder="1" applyAlignment="1">
      <alignment horizontal="right" vertical="center" wrapText="1"/>
    </xf>
    <xf numFmtId="2" fontId="1" fillId="0" borderId="41" xfId="0" applyNumberFormat="1" applyFont="1" applyBorder="1" applyAlignment="1">
      <alignment vertical="center" wrapText="1"/>
    </xf>
    <xf numFmtId="2" fontId="1" fillId="0" borderId="42" xfId="0" applyNumberFormat="1" applyFont="1" applyBorder="1" applyAlignment="1">
      <alignment vertical="center" wrapText="1"/>
    </xf>
    <xf numFmtId="2" fontId="2" fillId="0" borderId="29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47" xfId="0" applyFont="1" applyBorder="1" applyAlignment="1">
      <alignment horizontal="right" vertical="center" wrapText="1"/>
    </xf>
    <xf numFmtId="2" fontId="1" fillId="0" borderId="47" xfId="0" applyNumberFormat="1" applyFont="1" applyBorder="1" applyAlignment="1">
      <alignment horizontal="right" vertical="center" wrapText="1"/>
    </xf>
    <xf numFmtId="2" fontId="1" fillId="0" borderId="48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2" fontId="1" fillId="0" borderId="39" xfId="0" applyNumberFormat="1" applyFont="1" applyBorder="1" applyAlignment="1">
      <alignment horizontal="right" vertical="center" wrapText="1"/>
    </xf>
    <xf numFmtId="2" fontId="5" fillId="0" borderId="39" xfId="0" applyNumberFormat="1" applyFont="1" applyBorder="1" applyAlignment="1">
      <alignment horizontal="right" vertical="center" wrapText="1"/>
    </xf>
    <xf numFmtId="2" fontId="5" fillId="0" borderId="49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/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10" sqref="B10:J14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3" t="s">
        <v>22</v>
      </c>
      <c r="C1" s="84"/>
      <c r="D1" s="1" t="s">
        <v>1</v>
      </c>
      <c r="E1" s="27"/>
      <c r="F1" s="1" t="s">
        <v>2</v>
      </c>
      <c r="G1" s="85">
        <v>44806</v>
      </c>
      <c r="H1" s="86"/>
      <c r="I1" s="86"/>
      <c r="J1" s="87"/>
      <c r="K1" s="1"/>
      <c r="L1" s="1"/>
    </row>
    <row r="2" spans="1:12" ht="15.75" thickBot="1" x14ac:dyDescent="0.3">
      <c r="A2" s="35" t="s">
        <v>3</v>
      </c>
      <c r="B2" s="5" t="s">
        <v>4</v>
      </c>
      <c r="C2" s="36" t="s">
        <v>5</v>
      </c>
      <c r="D2" s="40" t="s">
        <v>6</v>
      </c>
      <c r="E2" s="40" t="s">
        <v>7</v>
      </c>
      <c r="F2" s="40" t="s">
        <v>8</v>
      </c>
      <c r="G2" s="5" t="s">
        <v>9</v>
      </c>
      <c r="H2" s="5" t="s">
        <v>10</v>
      </c>
      <c r="I2" s="5" t="s">
        <v>11</v>
      </c>
      <c r="J2" s="37" t="s">
        <v>12</v>
      </c>
    </row>
    <row r="3" spans="1:12" ht="15" customHeight="1" x14ac:dyDescent="0.25">
      <c r="A3" s="73" t="s">
        <v>27</v>
      </c>
      <c r="B3" s="109" t="s">
        <v>31</v>
      </c>
      <c r="C3" s="108" t="s">
        <v>65</v>
      </c>
      <c r="D3" s="108" t="s">
        <v>66</v>
      </c>
      <c r="E3" s="14">
        <v>25</v>
      </c>
      <c r="F3" s="15">
        <v>1.91</v>
      </c>
      <c r="G3" s="15">
        <f>11*0.5</f>
        <v>5.5</v>
      </c>
      <c r="H3" s="15">
        <f>0.55*0.5</f>
        <v>0.27500000000000002</v>
      </c>
      <c r="I3" s="15">
        <f>0.1*0.5</f>
        <v>0.05</v>
      </c>
      <c r="J3" s="16">
        <f>1.9*0.5</f>
        <v>0.95</v>
      </c>
    </row>
    <row r="4" spans="1:12" s="46" customFormat="1" ht="15" customHeight="1" x14ac:dyDescent="0.25">
      <c r="A4" s="73"/>
      <c r="B4" s="8" t="s">
        <v>13</v>
      </c>
      <c r="C4" s="6" t="s">
        <v>43</v>
      </c>
      <c r="D4" s="6" t="s">
        <v>44</v>
      </c>
      <c r="E4" s="17">
        <v>75</v>
      </c>
      <c r="F4" s="7">
        <v>62.82</v>
      </c>
      <c r="G4" s="25">
        <f>129.15*1.5</f>
        <v>193.72500000000002</v>
      </c>
      <c r="H4" s="25">
        <f>17.2*1.5</f>
        <v>25.799999999999997</v>
      </c>
      <c r="I4" s="25">
        <f>3.8*1.5</f>
        <v>5.6999999999999993</v>
      </c>
      <c r="J4" s="26">
        <f>6.6*1.5</f>
        <v>9.8999999999999986</v>
      </c>
    </row>
    <row r="5" spans="1:12" s="46" customFormat="1" ht="15" customHeight="1" x14ac:dyDescent="0.25">
      <c r="A5" s="73"/>
      <c r="B5" s="8" t="s">
        <v>17</v>
      </c>
      <c r="C5" s="6" t="s">
        <v>41</v>
      </c>
      <c r="D5" s="6" t="s">
        <v>42</v>
      </c>
      <c r="E5" s="17">
        <v>120</v>
      </c>
      <c r="F5" s="7">
        <v>11.17</v>
      </c>
      <c r="G5" s="25">
        <f>1123*0.12</f>
        <v>134.76</v>
      </c>
      <c r="H5" s="25">
        <f>36.78*0.12</f>
        <v>4.4135999999999997</v>
      </c>
      <c r="I5" s="25">
        <f>30.1*0.12</f>
        <v>3.6120000000000001</v>
      </c>
      <c r="J5" s="26">
        <f>176.3*0.12</f>
        <v>21.155999999999999</v>
      </c>
    </row>
    <row r="6" spans="1:12" s="30" customFormat="1" x14ac:dyDescent="0.25">
      <c r="A6" s="73"/>
      <c r="B6" s="8" t="s">
        <v>18</v>
      </c>
      <c r="C6" s="6" t="s">
        <v>50</v>
      </c>
      <c r="D6" s="6" t="s">
        <v>51</v>
      </c>
      <c r="E6" s="17" t="s">
        <v>52</v>
      </c>
      <c r="F6" s="7">
        <v>4.03</v>
      </c>
      <c r="G6" s="7">
        <v>62</v>
      </c>
      <c r="H6" s="25">
        <v>0.13</v>
      </c>
      <c r="I6" s="25">
        <v>0.02</v>
      </c>
      <c r="J6" s="26">
        <v>15.2</v>
      </c>
      <c r="K6"/>
    </row>
    <row r="7" spans="1:12" s="71" customFormat="1" x14ac:dyDescent="0.25">
      <c r="A7" s="73"/>
      <c r="B7" s="61" t="s">
        <v>45</v>
      </c>
      <c r="C7" s="62" t="s">
        <v>46</v>
      </c>
      <c r="D7" s="62" t="s">
        <v>67</v>
      </c>
      <c r="E7" s="63">
        <v>60</v>
      </c>
      <c r="F7" s="64">
        <v>15.54</v>
      </c>
      <c r="G7" s="64">
        <f>330*0.6</f>
        <v>198</v>
      </c>
      <c r="H7" s="64">
        <f>1*0.6</f>
        <v>0.6</v>
      </c>
      <c r="I7" s="64">
        <f>0</f>
        <v>0</v>
      </c>
      <c r="J7" s="65">
        <f>81*0.6</f>
        <v>48.6</v>
      </c>
      <c r="K7"/>
    </row>
    <row r="8" spans="1:12" s="42" customFormat="1" ht="15.75" thickBot="1" x14ac:dyDescent="0.3">
      <c r="A8" s="73"/>
      <c r="B8" s="50" t="s">
        <v>14</v>
      </c>
      <c r="C8" s="51" t="s">
        <v>32</v>
      </c>
      <c r="D8" s="51" t="s">
        <v>33</v>
      </c>
      <c r="E8" s="52">
        <v>37.5</v>
      </c>
      <c r="F8" s="53">
        <v>1.68</v>
      </c>
      <c r="G8" s="53">
        <f>229.7*0.375</f>
        <v>86.137499999999989</v>
      </c>
      <c r="H8" s="54">
        <f>6.7*0.375</f>
        <v>2.5125000000000002</v>
      </c>
      <c r="I8" s="54">
        <f>1.1*0.375</f>
        <v>0.41250000000000003</v>
      </c>
      <c r="J8" s="55">
        <f>48.3*0.375</f>
        <v>18.112499999999997</v>
      </c>
    </row>
    <row r="9" spans="1:12" ht="16.5" thickBot="1" x14ac:dyDescent="0.3">
      <c r="A9" s="88" t="s">
        <v>15</v>
      </c>
      <c r="B9" s="89"/>
      <c r="C9" s="89"/>
      <c r="D9" s="89"/>
      <c r="E9" s="91"/>
      <c r="F9" s="56">
        <f>SUM(F3:F8)</f>
        <v>97.15</v>
      </c>
      <c r="G9" s="56">
        <f t="shared" ref="G9:J9" si="0">SUM(G3:G8)</f>
        <v>680.12249999999995</v>
      </c>
      <c r="H9" s="56">
        <f t="shared" si="0"/>
        <v>33.731099999999998</v>
      </c>
      <c r="I9" s="56">
        <f t="shared" si="0"/>
        <v>9.7944999999999975</v>
      </c>
      <c r="J9" s="56">
        <f t="shared" si="0"/>
        <v>113.91850000000001</v>
      </c>
    </row>
    <row r="10" spans="1:12" x14ac:dyDescent="0.25">
      <c r="A10" s="77" t="s">
        <v>28</v>
      </c>
      <c r="B10" s="21" t="s">
        <v>16</v>
      </c>
      <c r="C10" s="22" t="s">
        <v>54</v>
      </c>
      <c r="D10" s="22" t="s">
        <v>60</v>
      </c>
      <c r="E10" s="14" t="s">
        <v>61</v>
      </c>
      <c r="F10" s="15">
        <v>8.26</v>
      </c>
      <c r="G10" s="15">
        <f>359*0.25+162*0.1</f>
        <v>105.95</v>
      </c>
      <c r="H10" s="15">
        <f>7.06*0.25+2.6*0.1</f>
        <v>2.0249999999999999</v>
      </c>
      <c r="I10" s="15">
        <f>19.8*0.25+15*0.1</f>
        <v>6.45</v>
      </c>
      <c r="J10" s="16">
        <f>31.61*0.25+3.6*0.1</f>
        <v>8.2624999999999993</v>
      </c>
      <c r="K10"/>
    </row>
    <row r="11" spans="1:12" x14ac:dyDescent="0.25">
      <c r="A11" s="77"/>
      <c r="B11" s="47" t="s">
        <v>13</v>
      </c>
      <c r="C11" s="48" t="s">
        <v>58</v>
      </c>
      <c r="D11" s="48" t="s">
        <v>59</v>
      </c>
      <c r="E11" s="49">
        <v>40</v>
      </c>
      <c r="F11" s="68">
        <v>19.100000000000001</v>
      </c>
      <c r="G11" s="69">
        <f>273/75*40</f>
        <v>145.6</v>
      </c>
      <c r="H11" s="69">
        <f>10.11/75*40</f>
        <v>5.3920000000000003</v>
      </c>
      <c r="I11" s="69">
        <f>20.87/75*40</f>
        <v>11.130666666666666</v>
      </c>
      <c r="J11" s="70">
        <f>10.64/75*40</f>
        <v>5.674666666666667</v>
      </c>
      <c r="K11"/>
    </row>
    <row r="12" spans="1:12" s="60" customFormat="1" x14ac:dyDescent="0.25">
      <c r="A12" s="77"/>
      <c r="B12" s="8" t="s">
        <v>17</v>
      </c>
      <c r="C12" s="6" t="s">
        <v>62</v>
      </c>
      <c r="D12" s="6" t="s">
        <v>63</v>
      </c>
      <c r="E12" s="17">
        <v>120</v>
      </c>
      <c r="F12" s="7">
        <v>11.27</v>
      </c>
      <c r="G12" s="7">
        <f>1398*0.12</f>
        <v>167.76</v>
      </c>
      <c r="H12" s="7">
        <f>24.34*0.12</f>
        <v>2.9207999999999998</v>
      </c>
      <c r="I12" s="7">
        <f>35.83*0.12</f>
        <v>4.2995999999999999</v>
      </c>
      <c r="J12" s="9">
        <f>244.56*0.12</f>
        <v>29.347200000000001</v>
      </c>
      <c r="K12"/>
    </row>
    <row r="13" spans="1:12" s="30" customFormat="1" x14ac:dyDescent="0.25">
      <c r="A13" s="77"/>
      <c r="B13" s="8" t="s">
        <v>18</v>
      </c>
      <c r="C13" s="6" t="s">
        <v>19</v>
      </c>
      <c r="D13" s="6" t="s">
        <v>20</v>
      </c>
      <c r="E13" s="17" t="s">
        <v>34</v>
      </c>
      <c r="F13" s="7">
        <v>2.5</v>
      </c>
      <c r="G13" s="7">
        <v>60</v>
      </c>
      <c r="H13" s="7">
        <v>7.0000000000000007E-2</v>
      </c>
      <c r="I13" s="7">
        <v>0.02</v>
      </c>
      <c r="J13" s="9">
        <v>15</v>
      </c>
    </row>
    <row r="14" spans="1:12" ht="15.75" thickBot="1" x14ac:dyDescent="0.3">
      <c r="A14" s="77"/>
      <c r="B14" s="10" t="s">
        <v>14</v>
      </c>
      <c r="C14" s="11" t="s">
        <v>32</v>
      </c>
      <c r="D14" s="11" t="s">
        <v>33</v>
      </c>
      <c r="E14" s="18">
        <v>26</v>
      </c>
      <c r="F14" s="19">
        <v>1.1599999999999999</v>
      </c>
      <c r="G14" s="19">
        <f>229.7*0.26</f>
        <v>59.722000000000001</v>
      </c>
      <c r="H14" s="12">
        <f>6.7*0.26</f>
        <v>1.7420000000000002</v>
      </c>
      <c r="I14" s="12">
        <f>1.1*0.26</f>
        <v>0.28600000000000003</v>
      </c>
      <c r="J14" s="13">
        <f>48.3*0.26</f>
        <v>12.558</v>
      </c>
    </row>
    <row r="15" spans="1:12" ht="16.5" thickBot="1" x14ac:dyDescent="0.3">
      <c r="A15" s="92" t="s">
        <v>15</v>
      </c>
      <c r="B15" s="93"/>
      <c r="C15" s="93"/>
      <c r="D15" s="93"/>
      <c r="E15" s="94"/>
      <c r="F15" s="29">
        <f>SUM(F10:F14)</f>
        <v>42.289999999999992</v>
      </c>
      <c r="G15" s="29">
        <f t="shared" ref="G15:J15" si="1">SUM(G10:G14)</f>
        <v>539.03200000000004</v>
      </c>
      <c r="H15" s="29">
        <f t="shared" si="1"/>
        <v>12.149800000000001</v>
      </c>
      <c r="I15" s="29">
        <f t="shared" si="1"/>
        <v>22.186266666666665</v>
      </c>
      <c r="J15" s="29">
        <f t="shared" si="1"/>
        <v>70.842366666666663</v>
      </c>
    </row>
    <row r="16" spans="1:12" s="71" customFormat="1" x14ac:dyDescent="0.25">
      <c r="A16" s="102" t="s">
        <v>29</v>
      </c>
      <c r="B16" s="21" t="s">
        <v>31</v>
      </c>
      <c r="C16" s="22" t="s">
        <v>65</v>
      </c>
      <c r="D16" s="22" t="s">
        <v>68</v>
      </c>
      <c r="E16" s="14">
        <v>25</v>
      </c>
      <c r="F16" s="15">
        <v>3.32</v>
      </c>
      <c r="G16" s="15">
        <f>6*0.5</f>
        <v>3</v>
      </c>
      <c r="H16" s="15">
        <f>0.35*0.5</f>
        <v>0.17499999999999999</v>
      </c>
      <c r="I16" s="15">
        <f>0.05*0.5</f>
        <v>2.5000000000000001E-2</v>
      </c>
      <c r="J16" s="16">
        <f>0.95*0.5</f>
        <v>0.47499999999999998</v>
      </c>
    </row>
    <row r="17" spans="1:11" s="41" customFormat="1" x14ac:dyDescent="0.25">
      <c r="A17" s="103"/>
      <c r="B17" s="8" t="s">
        <v>16</v>
      </c>
      <c r="C17" s="6" t="s">
        <v>54</v>
      </c>
      <c r="D17" s="6" t="s">
        <v>60</v>
      </c>
      <c r="E17" s="17" t="s">
        <v>61</v>
      </c>
      <c r="F17" s="7">
        <v>8.26</v>
      </c>
      <c r="G17" s="7">
        <f>359*0.25+162*0.1</f>
        <v>105.95</v>
      </c>
      <c r="H17" s="7">
        <f>7.06*0.25+2.6*0.1</f>
        <v>2.0249999999999999</v>
      </c>
      <c r="I17" s="7">
        <f>19.8*0.25+15*0.1</f>
        <v>6.45</v>
      </c>
      <c r="J17" s="9">
        <f>31.61*0.25+3.6*0.1</f>
        <v>8.2624999999999993</v>
      </c>
    </row>
    <row r="18" spans="1:11" s="60" customFormat="1" x14ac:dyDescent="0.25">
      <c r="A18" s="103"/>
      <c r="B18" s="8" t="s">
        <v>13</v>
      </c>
      <c r="C18" s="6" t="s">
        <v>58</v>
      </c>
      <c r="D18" s="6" t="s">
        <v>59</v>
      </c>
      <c r="E18" s="17">
        <v>65</v>
      </c>
      <c r="F18" s="7">
        <v>31.04</v>
      </c>
      <c r="G18" s="25">
        <f>273/75*65</f>
        <v>236.6</v>
      </c>
      <c r="H18" s="25">
        <f>10.11/75*65</f>
        <v>8.7620000000000005</v>
      </c>
      <c r="I18" s="25">
        <f>20.87/75*65</f>
        <v>18.087333333333333</v>
      </c>
      <c r="J18" s="26">
        <f>10.64/75*65</f>
        <v>9.2213333333333338</v>
      </c>
      <c r="K18"/>
    </row>
    <row r="19" spans="1:11" s="71" customFormat="1" x14ac:dyDescent="0.25">
      <c r="A19" s="103"/>
      <c r="B19" s="8" t="s">
        <v>17</v>
      </c>
      <c r="C19" s="6" t="s">
        <v>62</v>
      </c>
      <c r="D19" s="6" t="s">
        <v>63</v>
      </c>
      <c r="E19" s="17">
        <v>120</v>
      </c>
      <c r="F19" s="7">
        <v>11.27</v>
      </c>
      <c r="G19" s="7">
        <f>1398*0.12</f>
        <v>167.76</v>
      </c>
      <c r="H19" s="7">
        <f>24.34*0.12</f>
        <v>2.9207999999999998</v>
      </c>
      <c r="I19" s="7">
        <f>35.83*0.12</f>
        <v>4.2995999999999999</v>
      </c>
      <c r="J19" s="9">
        <f>244.56*0.12</f>
        <v>29.347200000000001</v>
      </c>
      <c r="K19"/>
    </row>
    <row r="20" spans="1:11" s="38" customFormat="1" x14ac:dyDescent="0.25">
      <c r="A20" s="103"/>
      <c r="B20" s="8" t="s">
        <v>38</v>
      </c>
      <c r="C20" s="6" t="s">
        <v>46</v>
      </c>
      <c r="D20" s="6" t="s">
        <v>47</v>
      </c>
      <c r="E20" s="17">
        <v>200</v>
      </c>
      <c r="F20" s="7">
        <v>37.24</v>
      </c>
      <c r="G20" s="7">
        <v>160</v>
      </c>
      <c r="H20" s="7">
        <v>6.2</v>
      </c>
      <c r="I20" s="7">
        <v>5</v>
      </c>
      <c r="J20" s="9">
        <v>22</v>
      </c>
    </row>
    <row r="21" spans="1:11" s="41" customFormat="1" x14ac:dyDescent="0.25">
      <c r="A21" s="103"/>
      <c r="B21" s="8" t="s">
        <v>21</v>
      </c>
      <c r="C21" s="57" t="s">
        <v>48</v>
      </c>
      <c r="D21" s="6" t="s">
        <v>49</v>
      </c>
      <c r="E21" s="17">
        <v>50</v>
      </c>
      <c r="F21" s="7">
        <v>4.76</v>
      </c>
      <c r="G21" s="58">
        <v>159</v>
      </c>
      <c r="H21" s="58">
        <v>3.64</v>
      </c>
      <c r="I21" s="58">
        <v>6.26</v>
      </c>
      <c r="J21" s="59">
        <v>21.96</v>
      </c>
    </row>
    <row r="22" spans="1:11" s="38" customFormat="1" ht="15.75" thickBot="1" x14ac:dyDescent="0.3">
      <c r="A22" s="104"/>
      <c r="B22" s="10" t="s">
        <v>14</v>
      </c>
      <c r="C22" s="11" t="s">
        <v>32</v>
      </c>
      <c r="D22" s="11" t="s">
        <v>33</v>
      </c>
      <c r="E22" s="18">
        <v>28</v>
      </c>
      <c r="F22" s="19">
        <v>1.26</v>
      </c>
      <c r="G22" s="19">
        <f>229.7*0.28</f>
        <v>64.316000000000003</v>
      </c>
      <c r="H22" s="12">
        <f>6.7*0.28</f>
        <v>1.8760000000000003</v>
      </c>
      <c r="I22" s="12">
        <f>1.1*0.28</f>
        <v>0.30800000000000005</v>
      </c>
      <c r="J22" s="13">
        <f>48.3*0.28</f>
        <v>13.524000000000001</v>
      </c>
    </row>
    <row r="23" spans="1:11" s="31" customFormat="1" ht="16.5" thickBot="1" x14ac:dyDescent="0.3">
      <c r="A23" s="88" t="s">
        <v>15</v>
      </c>
      <c r="B23" s="75"/>
      <c r="C23" s="75"/>
      <c r="D23" s="75"/>
      <c r="E23" s="95"/>
      <c r="F23" s="20">
        <f>SUM(F16:F22)</f>
        <v>97.15</v>
      </c>
      <c r="G23" s="20">
        <f t="shared" ref="G23:J23" si="2">SUM(G16:G22)</f>
        <v>896.62599999999998</v>
      </c>
      <c r="H23" s="20">
        <f t="shared" si="2"/>
        <v>25.598800000000001</v>
      </c>
      <c r="I23" s="20">
        <f t="shared" si="2"/>
        <v>40.429933333333331</v>
      </c>
      <c r="J23" s="20">
        <f t="shared" si="2"/>
        <v>104.79003333333333</v>
      </c>
      <c r="K23"/>
    </row>
    <row r="24" spans="1:11" s="60" customFormat="1" x14ac:dyDescent="0.25">
      <c r="A24" s="97" t="s">
        <v>30</v>
      </c>
      <c r="B24" s="8" t="s">
        <v>18</v>
      </c>
      <c r="C24" s="6" t="s">
        <v>50</v>
      </c>
      <c r="D24" s="6" t="s">
        <v>51</v>
      </c>
      <c r="E24" s="17" t="s">
        <v>52</v>
      </c>
      <c r="F24" s="7">
        <v>4.03</v>
      </c>
      <c r="G24" s="7">
        <v>62</v>
      </c>
      <c r="H24" s="25">
        <v>0.13</v>
      </c>
      <c r="I24" s="25">
        <v>0.02</v>
      </c>
      <c r="J24" s="26">
        <v>15.2</v>
      </c>
      <c r="K24"/>
    </row>
    <row r="25" spans="1:11" s="60" customFormat="1" x14ac:dyDescent="0.25">
      <c r="A25" s="98"/>
      <c r="B25" s="61" t="s">
        <v>45</v>
      </c>
      <c r="C25" s="62" t="s">
        <v>46</v>
      </c>
      <c r="D25" s="62" t="s">
        <v>67</v>
      </c>
      <c r="E25" s="63">
        <v>60</v>
      </c>
      <c r="F25" s="64">
        <v>15.54</v>
      </c>
      <c r="G25" s="64">
        <f>330*0.6</f>
        <v>198</v>
      </c>
      <c r="H25" s="64">
        <f>1*0.6</f>
        <v>0.6</v>
      </c>
      <c r="I25" s="64">
        <f>0</f>
        <v>0</v>
      </c>
      <c r="J25" s="65">
        <f>81*0.6</f>
        <v>48.6</v>
      </c>
      <c r="K25"/>
    </row>
    <row r="26" spans="1:11" s="60" customFormat="1" ht="15.75" thickBot="1" x14ac:dyDescent="0.3">
      <c r="A26" s="98"/>
      <c r="B26" s="10" t="s">
        <v>55</v>
      </c>
      <c r="C26" s="11" t="s">
        <v>56</v>
      </c>
      <c r="D26" s="11" t="s">
        <v>57</v>
      </c>
      <c r="E26" s="18">
        <v>148</v>
      </c>
      <c r="F26" s="19">
        <v>22.72</v>
      </c>
      <c r="G26" s="66">
        <f>47*1.48</f>
        <v>69.56</v>
      </c>
      <c r="H26" s="66">
        <f>0.4*1.48</f>
        <v>0.59199999999999997</v>
      </c>
      <c r="I26" s="66">
        <f>0.4*1.48</f>
        <v>0.59199999999999997</v>
      </c>
      <c r="J26" s="67">
        <f>9.8*1.48</f>
        <v>14.504000000000001</v>
      </c>
      <c r="K26"/>
    </row>
    <row r="27" spans="1:11" s="60" customFormat="1" ht="16.5" thickBot="1" x14ac:dyDescent="0.3">
      <c r="A27" s="74" t="s">
        <v>15</v>
      </c>
      <c r="B27" s="78"/>
      <c r="C27" s="78"/>
      <c r="D27" s="78"/>
      <c r="E27" s="79"/>
      <c r="F27" s="3">
        <f>SUM(F24:F26)</f>
        <v>42.29</v>
      </c>
      <c r="G27" s="3">
        <f>SUM(G24:G26)</f>
        <v>329.56</v>
      </c>
      <c r="H27" s="3">
        <f>SUM(H24:H26)</f>
        <v>1.3220000000000001</v>
      </c>
      <c r="I27" s="3">
        <f>SUM(I24:I26)</f>
        <v>0.61199999999999999</v>
      </c>
      <c r="J27" s="3">
        <f>SUM(J24:J26)</f>
        <v>78.304000000000002</v>
      </c>
      <c r="K27"/>
    </row>
    <row r="29" spans="1:11" ht="15.75" thickBot="1" x14ac:dyDescent="0.3">
      <c r="A29" s="80" t="s">
        <v>25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1" ht="15.75" x14ac:dyDescent="0.25">
      <c r="A30" s="24"/>
      <c r="B30" s="24"/>
      <c r="C30" s="81" t="s">
        <v>23</v>
      </c>
      <c r="D30" s="81"/>
      <c r="G30" s="82"/>
      <c r="H30" s="82"/>
      <c r="I30" s="82"/>
      <c r="J30" s="82"/>
    </row>
    <row r="31" spans="1:11" x14ac:dyDescent="0.25">
      <c r="A31" s="1"/>
      <c r="B31" s="1"/>
      <c r="C31" s="1"/>
      <c r="D31" s="1"/>
    </row>
    <row r="32" spans="1:11" x14ac:dyDescent="0.25">
      <c r="A32" s="72" t="s">
        <v>24</v>
      </c>
      <c r="B32" s="72"/>
    </row>
    <row r="33" spans="1:2" x14ac:dyDescent="0.25">
      <c r="A33" s="72" t="s">
        <v>26</v>
      </c>
      <c r="B33" s="72"/>
    </row>
    <row r="34" spans="1:2" x14ac:dyDescent="0.25">
      <c r="A34" s="4"/>
    </row>
  </sheetData>
  <mergeCells count="15">
    <mergeCell ref="A32:B32"/>
    <mergeCell ref="A33:B33"/>
    <mergeCell ref="A3:A8"/>
    <mergeCell ref="A24:A26"/>
    <mergeCell ref="A27:E27"/>
    <mergeCell ref="A16:A22"/>
    <mergeCell ref="B1:C1"/>
    <mergeCell ref="G1:J1"/>
    <mergeCell ref="C30:D30"/>
    <mergeCell ref="A29:J29"/>
    <mergeCell ref="G30:J30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K28" sqref="K28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99" t="s">
        <v>22</v>
      </c>
      <c r="C1" s="100"/>
      <c r="D1" s="1" t="s">
        <v>1</v>
      </c>
      <c r="E1" s="27"/>
      <c r="F1" s="1" t="s">
        <v>2</v>
      </c>
      <c r="G1" s="85">
        <v>44806</v>
      </c>
      <c r="H1" s="86"/>
      <c r="I1" s="86"/>
      <c r="J1" s="87"/>
      <c r="K1" s="1"/>
      <c r="L1" s="1"/>
    </row>
    <row r="2" spans="1:12" ht="15.75" thickBot="1" x14ac:dyDescent="0.3">
      <c r="A2" s="35" t="s">
        <v>3</v>
      </c>
      <c r="B2" s="43" t="s">
        <v>4</v>
      </c>
      <c r="C2" s="44" t="s">
        <v>5</v>
      </c>
      <c r="D2" s="44" t="s">
        <v>6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5" t="s">
        <v>12</v>
      </c>
    </row>
    <row r="3" spans="1:12" ht="15.75" x14ac:dyDescent="0.25">
      <c r="A3" s="73" t="s">
        <v>35</v>
      </c>
      <c r="B3" s="109" t="s">
        <v>31</v>
      </c>
      <c r="C3" s="108" t="s">
        <v>65</v>
      </c>
      <c r="D3" s="108" t="s">
        <v>66</v>
      </c>
      <c r="E3" s="14">
        <v>25</v>
      </c>
      <c r="F3" s="15">
        <v>1.91</v>
      </c>
      <c r="G3" s="15">
        <f>11*0.5</f>
        <v>5.5</v>
      </c>
      <c r="H3" s="15">
        <f>0.55*0.5</f>
        <v>0.27500000000000002</v>
      </c>
      <c r="I3" s="15">
        <f>0.1*0.5</f>
        <v>0.05</v>
      </c>
      <c r="J3" s="16">
        <f>1.9*0.5</f>
        <v>0.95</v>
      </c>
    </row>
    <row r="4" spans="1:12" s="42" customFormat="1" x14ac:dyDescent="0.25">
      <c r="A4" s="73"/>
      <c r="B4" s="8" t="s">
        <v>13</v>
      </c>
      <c r="C4" s="6" t="s">
        <v>43</v>
      </c>
      <c r="D4" s="6" t="s">
        <v>44</v>
      </c>
      <c r="E4" s="17">
        <v>50</v>
      </c>
      <c r="F4" s="7">
        <v>41.88</v>
      </c>
      <c r="G4" s="25">
        <v>129.15</v>
      </c>
      <c r="H4" s="25">
        <v>17.2</v>
      </c>
      <c r="I4" s="25">
        <v>3.8</v>
      </c>
      <c r="J4" s="26">
        <v>6.6</v>
      </c>
    </row>
    <row r="5" spans="1:12" s="46" customFormat="1" x14ac:dyDescent="0.25">
      <c r="A5" s="73"/>
      <c r="B5" s="8" t="s">
        <v>17</v>
      </c>
      <c r="C5" s="6" t="s">
        <v>41</v>
      </c>
      <c r="D5" s="6" t="s">
        <v>42</v>
      </c>
      <c r="E5" s="17">
        <v>150</v>
      </c>
      <c r="F5" s="7">
        <v>13.96</v>
      </c>
      <c r="G5" s="25">
        <f>1123*0.15</f>
        <v>168.45</v>
      </c>
      <c r="H5" s="25">
        <f>36.78*0.15</f>
        <v>5.5170000000000003</v>
      </c>
      <c r="I5" s="25">
        <f>30.1*0.15</f>
        <v>4.5149999999999997</v>
      </c>
      <c r="J5" s="26">
        <f>176.3*0.15</f>
        <v>26.445</v>
      </c>
    </row>
    <row r="6" spans="1:12" s="46" customFormat="1" x14ac:dyDescent="0.25">
      <c r="A6" s="73"/>
      <c r="B6" s="8" t="s">
        <v>18</v>
      </c>
      <c r="C6" s="6" t="s">
        <v>50</v>
      </c>
      <c r="D6" s="6" t="s">
        <v>51</v>
      </c>
      <c r="E6" s="17" t="s">
        <v>52</v>
      </c>
      <c r="F6" s="7">
        <v>4.03</v>
      </c>
      <c r="G6" s="7">
        <v>62</v>
      </c>
      <c r="H6" s="25">
        <v>0.13</v>
      </c>
      <c r="I6" s="25">
        <v>0.02</v>
      </c>
      <c r="J6" s="26">
        <v>15.2</v>
      </c>
    </row>
    <row r="7" spans="1:12" x14ac:dyDescent="0.25">
      <c r="A7" s="73"/>
      <c r="B7" s="8" t="s">
        <v>21</v>
      </c>
      <c r="C7" s="57" t="s">
        <v>69</v>
      </c>
      <c r="D7" s="6" t="s">
        <v>70</v>
      </c>
      <c r="E7" s="17">
        <v>50</v>
      </c>
      <c r="F7" s="7">
        <v>7.43</v>
      </c>
      <c r="G7" s="58">
        <v>198.6</v>
      </c>
      <c r="H7" s="58">
        <v>4.0999999999999996</v>
      </c>
      <c r="I7" s="58">
        <v>7.7</v>
      </c>
      <c r="J7" s="59">
        <v>28.2</v>
      </c>
    </row>
    <row r="8" spans="1:12" ht="15.75" thickBot="1" x14ac:dyDescent="0.3">
      <c r="A8" s="73"/>
      <c r="B8" s="10" t="s">
        <v>14</v>
      </c>
      <c r="C8" s="11" t="s">
        <v>32</v>
      </c>
      <c r="D8" s="11" t="s">
        <v>33</v>
      </c>
      <c r="E8" s="18">
        <v>6.5</v>
      </c>
      <c r="F8" s="19">
        <v>0.28999999999999998</v>
      </c>
      <c r="G8" s="19">
        <f>229.7*0.065</f>
        <v>14.9305</v>
      </c>
      <c r="H8" s="12">
        <f>6.7*0.065</f>
        <v>0.43550000000000005</v>
      </c>
      <c r="I8" s="12">
        <f>1.1*0.065</f>
        <v>7.1500000000000008E-2</v>
      </c>
      <c r="J8" s="13">
        <f>48.3*0.065</f>
        <v>3.1395</v>
      </c>
    </row>
    <row r="9" spans="1:12" ht="16.5" thickBot="1" x14ac:dyDescent="0.3">
      <c r="A9" s="101" t="s">
        <v>15</v>
      </c>
      <c r="B9" s="75"/>
      <c r="C9" s="75"/>
      <c r="D9" s="75"/>
      <c r="E9" s="76"/>
      <c r="F9" s="20">
        <f>SUM(F3:F8)</f>
        <v>69.500000000000014</v>
      </c>
      <c r="G9" s="20">
        <f t="shared" ref="G9:J9" si="0">SUM(G3:G8)</f>
        <v>578.6305000000001</v>
      </c>
      <c r="H9" s="20">
        <f t="shared" si="0"/>
        <v>27.657499999999995</v>
      </c>
      <c r="I9" s="20">
        <f t="shared" si="0"/>
        <v>16.156499999999998</v>
      </c>
      <c r="J9" s="20">
        <f t="shared" si="0"/>
        <v>80.534499999999994</v>
      </c>
    </row>
    <row r="10" spans="1:12" s="28" customFormat="1" x14ac:dyDescent="0.25">
      <c r="A10" s="102" t="s">
        <v>36</v>
      </c>
      <c r="B10" s="21" t="s">
        <v>13</v>
      </c>
      <c r="C10" s="22" t="s">
        <v>41</v>
      </c>
      <c r="D10" s="22" t="s">
        <v>53</v>
      </c>
      <c r="E10" s="14" t="s">
        <v>71</v>
      </c>
      <c r="F10" s="15">
        <v>21.07</v>
      </c>
      <c r="G10" s="32">
        <f>1123*0.12+364*0.1</f>
        <v>171.16</v>
      </c>
      <c r="H10" s="32">
        <f>36.78*0.12+23.2*0.1</f>
        <v>6.7335999999999991</v>
      </c>
      <c r="I10" s="32">
        <f>30.1*0.12+29.5*0.1</f>
        <v>6.5620000000000003</v>
      </c>
      <c r="J10" s="33">
        <f>176.3*0.12</f>
        <v>21.155999999999999</v>
      </c>
      <c r="K10"/>
    </row>
    <row r="11" spans="1:12" s="28" customFormat="1" x14ac:dyDescent="0.25">
      <c r="A11" s="103"/>
      <c r="B11" s="8" t="s">
        <v>18</v>
      </c>
      <c r="C11" s="6" t="s">
        <v>50</v>
      </c>
      <c r="D11" s="6" t="s">
        <v>51</v>
      </c>
      <c r="E11" s="17" t="s">
        <v>52</v>
      </c>
      <c r="F11" s="7">
        <v>4.03</v>
      </c>
      <c r="G11" s="7">
        <v>62</v>
      </c>
      <c r="H11" s="25">
        <v>0.13</v>
      </c>
      <c r="I11" s="25">
        <v>0.02</v>
      </c>
      <c r="J11" s="26">
        <v>15.2</v>
      </c>
    </row>
    <row r="12" spans="1:12" s="31" customFormat="1" ht="15.75" thickBot="1" x14ac:dyDescent="0.3">
      <c r="A12" s="104"/>
      <c r="B12" s="10" t="s">
        <v>14</v>
      </c>
      <c r="C12" s="11" t="s">
        <v>32</v>
      </c>
      <c r="D12" s="11" t="s">
        <v>33</v>
      </c>
      <c r="E12" s="18">
        <v>42.5</v>
      </c>
      <c r="F12" s="19">
        <v>1.9</v>
      </c>
      <c r="G12" s="19">
        <f>229.7*0.425</f>
        <v>97.622499999999988</v>
      </c>
      <c r="H12" s="12">
        <f>6.7*0.425</f>
        <v>2.8475000000000001</v>
      </c>
      <c r="I12" s="12">
        <f>1.1*0.425</f>
        <v>0.46750000000000003</v>
      </c>
      <c r="J12" s="13">
        <f>48.3*0.425</f>
        <v>20.5275</v>
      </c>
    </row>
    <row r="13" spans="1:12" ht="16.5" thickBot="1" x14ac:dyDescent="0.3">
      <c r="A13" s="105" t="s">
        <v>15</v>
      </c>
      <c r="B13" s="75"/>
      <c r="C13" s="75"/>
      <c r="D13" s="75"/>
      <c r="E13" s="76"/>
      <c r="F13" s="20">
        <f>SUM(F10:F12)</f>
        <v>27</v>
      </c>
      <c r="G13" s="20">
        <f>SUM(G10:G12)</f>
        <v>330.78249999999997</v>
      </c>
      <c r="H13" s="20">
        <f>SUM(H10:H12)</f>
        <v>9.7110999999999983</v>
      </c>
      <c r="I13" s="20">
        <f>SUM(I10:I12)</f>
        <v>7.0495000000000001</v>
      </c>
      <c r="J13" s="20">
        <f>SUM(J10:J12)</f>
        <v>56.883499999999998</v>
      </c>
    </row>
    <row r="14" spans="1:12" s="30" customFormat="1" x14ac:dyDescent="0.25">
      <c r="A14" s="96" t="s">
        <v>37</v>
      </c>
      <c r="B14" s="21" t="s">
        <v>18</v>
      </c>
      <c r="C14" s="22" t="s">
        <v>19</v>
      </c>
      <c r="D14" s="22" t="s">
        <v>20</v>
      </c>
      <c r="E14" s="14" t="s">
        <v>34</v>
      </c>
      <c r="F14" s="15">
        <v>2.5</v>
      </c>
      <c r="G14" s="15">
        <v>60</v>
      </c>
      <c r="H14" s="15">
        <v>7.0000000000000007E-2</v>
      </c>
      <c r="I14" s="15">
        <v>0.02</v>
      </c>
      <c r="J14" s="16">
        <v>15</v>
      </c>
    </row>
    <row r="15" spans="1:12" s="30" customFormat="1" ht="15.75" thickBot="1" x14ac:dyDescent="0.3">
      <c r="A15" s="106"/>
      <c r="B15" s="10" t="s">
        <v>45</v>
      </c>
      <c r="C15" s="11" t="s">
        <v>46</v>
      </c>
      <c r="D15" s="11" t="s">
        <v>64</v>
      </c>
      <c r="E15" s="18">
        <v>24</v>
      </c>
      <c r="F15" s="19">
        <v>4.5</v>
      </c>
      <c r="G15" s="19">
        <f>435*0.24</f>
        <v>104.39999999999999</v>
      </c>
      <c r="H15" s="19">
        <f>7.1*0.24</f>
        <v>1.704</v>
      </c>
      <c r="I15" s="19">
        <f>15.1*0.24</f>
        <v>3.6239999999999997</v>
      </c>
      <c r="J15" s="34">
        <f>67.7*0.24</f>
        <v>16.248000000000001</v>
      </c>
    </row>
    <row r="16" spans="1:12" ht="16.5" thickBot="1" x14ac:dyDescent="0.3">
      <c r="A16" s="88" t="s">
        <v>15</v>
      </c>
      <c r="B16" s="93"/>
      <c r="C16" s="93"/>
      <c r="D16" s="93"/>
      <c r="E16" s="110"/>
      <c r="F16" s="20">
        <f>SUM(F14:F15)</f>
        <v>7</v>
      </c>
      <c r="G16" s="20">
        <f>SUM(G14:G15)</f>
        <v>164.39999999999998</v>
      </c>
      <c r="H16" s="20">
        <f t="shared" ref="H16:J16" si="1">SUM(H14:H15)</f>
        <v>1.774</v>
      </c>
      <c r="I16" s="20">
        <f t="shared" si="1"/>
        <v>3.6439999999999997</v>
      </c>
      <c r="J16" s="20">
        <f t="shared" si="1"/>
        <v>31.248000000000001</v>
      </c>
    </row>
    <row r="17" spans="1:10" x14ac:dyDescent="0.25">
      <c r="A17" s="77" t="s">
        <v>39</v>
      </c>
      <c r="B17" s="21" t="s">
        <v>16</v>
      </c>
      <c r="C17" s="22" t="s">
        <v>54</v>
      </c>
      <c r="D17" s="22" t="s">
        <v>60</v>
      </c>
      <c r="E17" s="14" t="s">
        <v>61</v>
      </c>
      <c r="F17" s="15">
        <v>8.26</v>
      </c>
      <c r="G17" s="15">
        <f>359*0.25+162*0.1</f>
        <v>105.95</v>
      </c>
      <c r="H17" s="15">
        <f>7.06*0.25+2.6*0.1</f>
        <v>2.0249999999999999</v>
      </c>
      <c r="I17" s="15">
        <f>19.8*0.25+15*0.1</f>
        <v>6.45</v>
      </c>
      <c r="J17" s="16">
        <f>31.61*0.25+3.6*0.1</f>
        <v>8.2624999999999993</v>
      </c>
    </row>
    <row r="18" spans="1:10" s="71" customFormat="1" x14ac:dyDescent="0.25">
      <c r="A18" s="77"/>
      <c r="B18" s="8" t="s">
        <v>13</v>
      </c>
      <c r="C18" s="6" t="s">
        <v>58</v>
      </c>
      <c r="D18" s="6" t="s">
        <v>59</v>
      </c>
      <c r="E18" s="17">
        <v>65</v>
      </c>
      <c r="F18" s="7">
        <v>31.04</v>
      </c>
      <c r="G18" s="25">
        <f>273/75*65</f>
        <v>236.6</v>
      </c>
      <c r="H18" s="25">
        <f>10.11/75*65</f>
        <v>8.7620000000000005</v>
      </c>
      <c r="I18" s="25">
        <f>20.87/75*65</f>
        <v>18.087333333333333</v>
      </c>
      <c r="J18" s="26">
        <f>10.64/75*65</f>
        <v>9.2213333333333338</v>
      </c>
    </row>
    <row r="19" spans="1:10" s="71" customFormat="1" x14ac:dyDescent="0.25">
      <c r="A19" s="77"/>
      <c r="B19" s="8" t="s">
        <v>17</v>
      </c>
      <c r="C19" s="6" t="s">
        <v>62</v>
      </c>
      <c r="D19" s="6" t="s">
        <v>63</v>
      </c>
      <c r="E19" s="17">
        <v>120</v>
      </c>
      <c r="F19" s="7">
        <v>11.27</v>
      </c>
      <c r="G19" s="7">
        <f>1398*0.12</f>
        <v>167.76</v>
      </c>
      <c r="H19" s="7">
        <f>24.34*0.12</f>
        <v>2.9207999999999998</v>
      </c>
      <c r="I19" s="7">
        <f>35.83*0.12</f>
        <v>4.2995999999999999</v>
      </c>
      <c r="J19" s="9">
        <f>244.56*0.12</f>
        <v>29.347200000000001</v>
      </c>
    </row>
    <row r="20" spans="1:10" x14ac:dyDescent="0.25">
      <c r="A20" s="77"/>
      <c r="B20" s="8" t="s">
        <v>18</v>
      </c>
      <c r="C20" s="6" t="s">
        <v>19</v>
      </c>
      <c r="D20" s="6" t="s">
        <v>20</v>
      </c>
      <c r="E20" s="17" t="s">
        <v>34</v>
      </c>
      <c r="F20" s="7">
        <v>2.5</v>
      </c>
      <c r="G20" s="7">
        <v>60</v>
      </c>
      <c r="H20" s="7">
        <v>7.0000000000000007E-2</v>
      </c>
      <c r="I20" s="7">
        <v>0.02</v>
      </c>
      <c r="J20" s="9">
        <v>15</v>
      </c>
    </row>
    <row r="21" spans="1:10" s="30" customFormat="1" x14ac:dyDescent="0.25">
      <c r="A21" s="77"/>
      <c r="B21" s="61" t="s">
        <v>45</v>
      </c>
      <c r="C21" s="62" t="s">
        <v>46</v>
      </c>
      <c r="D21" s="62" t="s">
        <v>67</v>
      </c>
      <c r="E21" s="63">
        <v>60</v>
      </c>
      <c r="F21" s="64">
        <v>15.54</v>
      </c>
      <c r="G21" s="64">
        <f>330*0.6</f>
        <v>198</v>
      </c>
      <c r="H21" s="64">
        <f>1*0.6</f>
        <v>0.6</v>
      </c>
      <c r="I21" s="64">
        <f>0</f>
        <v>0</v>
      </c>
      <c r="J21" s="65">
        <f>81*0.6</f>
        <v>48.6</v>
      </c>
    </row>
    <row r="22" spans="1:10" ht="15.75" thickBot="1" x14ac:dyDescent="0.3">
      <c r="A22" s="77"/>
      <c r="B22" s="10" t="s">
        <v>14</v>
      </c>
      <c r="C22" s="11" t="s">
        <v>32</v>
      </c>
      <c r="D22" s="11" t="s">
        <v>33</v>
      </c>
      <c r="E22" s="18">
        <v>20</v>
      </c>
      <c r="F22" s="19">
        <v>0.89</v>
      </c>
      <c r="G22" s="19">
        <f>229.7*0.2</f>
        <v>45.94</v>
      </c>
      <c r="H22" s="12">
        <f>6.7*0.2</f>
        <v>1.34</v>
      </c>
      <c r="I22" s="12">
        <f>1.1*0.2</f>
        <v>0.22000000000000003</v>
      </c>
      <c r="J22" s="13">
        <f>48.3*0.2</f>
        <v>9.66</v>
      </c>
    </row>
    <row r="23" spans="1:10" ht="16.5" thickBot="1" x14ac:dyDescent="0.3">
      <c r="A23" s="88" t="s">
        <v>15</v>
      </c>
      <c r="B23" s="89"/>
      <c r="C23" s="89"/>
      <c r="D23" s="89"/>
      <c r="E23" s="90"/>
      <c r="F23" s="23">
        <f>SUM(F17:F22)</f>
        <v>69.499999999999986</v>
      </c>
      <c r="G23" s="23">
        <f>SUM(G17:G22)</f>
        <v>814.25</v>
      </c>
      <c r="H23" s="23">
        <f>SUM(H17:H22)</f>
        <v>15.7178</v>
      </c>
      <c r="I23" s="23">
        <f>SUM(I17:I22)</f>
        <v>29.076933333333333</v>
      </c>
      <c r="J23" s="23">
        <f>SUM(J17:J22)</f>
        <v>120.09103333333334</v>
      </c>
    </row>
    <row r="24" spans="1:10" s="39" customFormat="1" x14ac:dyDescent="0.25">
      <c r="A24" s="107" t="s">
        <v>40</v>
      </c>
      <c r="B24" s="21" t="s">
        <v>16</v>
      </c>
      <c r="C24" s="22" t="s">
        <v>54</v>
      </c>
      <c r="D24" s="22" t="s">
        <v>60</v>
      </c>
      <c r="E24" s="14" t="s">
        <v>61</v>
      </c>
      <c r="F24" s="15">
        <v>8.26</v>
      </c>
      <c r="G24" s="15">
        <f>359*0.25+162*0.1</f>
        <v>105.95</v>
      </c>
      <c r="H24" s="15">
        <f>7.06*0.25+2.6*0.1</f>
        <v>2.0249999999999999</v>
      </c>
      <c r="I24" s="15">
        <f>19.8*0.25+15*0.1</f>
        <v>6.45</v>
      </c>
      <c r="J24" s="16">
        <f>31.61*0.25+3.6*0.1</f>
        <v>8.2624999999999993</v>
      </c>
    </row>
    <row r="25" spans="1:10" x14ac:dyDescent="0.25">
      <c r="A25" s="107"/>
      <c r="B25" s="47" t="s">
        <v>13</v>
      </c>
      <c r="C25" s="48" t="s">
        <v>58</v>
      </c>
      <c r="D25" s="48" t="s">
        <v>59</v>
      </c>
      <c r="E25" s="49">
        <v>40</v>
      </c>
      <c r="F25" s="68">
        <v>19.100000000000001</v>
      </c>
      <c r="G25" s="69">
        <f>273/75*40</f>
        <v>145.6</v>
      </c>
      <c r="H25" s="69">
        <f>10.11/75*40</f>
        <v>5.3920000000000003</v>
      </c>
      <c r="I25" s="69">
        <f>20.87/75*40</f>
        <v>11.130666666666666</v>
      </c>
      <c r="J25" s="70">
        <f>10.64/75*40</f>
        <v>5.674666666666667</v>
      </c>
    </row>
    <row r="26" spans="1:10" s="71" customFormat="1" x14ac:dyDescent="0.25">
      <c r="A26" s="107"/>
      <c r="B26" s="8" t="s">
        <v>17</v>
      </c>
      <c r="C26" s="6" t="s">
        <v>62</v>
      </c>
      <c r="D26" s="6" t="s">
        <v>63</v>
      </c>
      <c r="E26" s="17">
        <v>140</v>
      </c>
      <c r="F26" s="7">
        <v>13.15</v>
      </c>
      <c r="G26" s="7">
        <f>1398*0.14</f>
        <v>195.72000000000003</v>
      </c>
      <c r="H26" s="7">
        <f>24.34*0.14</f>
        <v>3.4076000000000004</v>
      </c>
      <c r="I26" s="7">
        <f>35.83*0.14</f>
        <v>5.0162000000000004</v>
      </c>
      <c r="J26" s="9">
        <f>244.56*0.14</f>
        <v>34.238400000000006</v>
      </c>
    </row>
    <row r="27" spans="1:10" x14ac:dyDescent="0.25">
      <c r="A27" s="107"/>
      <c r="B27" s="8" t="s">
        <v>18</v>
      </c>
      <c r="C27" s="6" t="s">
        <v>50</v>
      </c>
      <c r="D27" s="6" t="s">
        <v>51</v>
      </c>
      <c r="E27" s="17" t="s">
        <v>52</v>
      </c>
      <c r="F27" s="7">
        <v>4.03</v>
      </c>
      <c r="G27" s="7">
        <v>62</v>
      </c>
      <c r="H27" s="25">
        <v>0.13</v>
      </c>
      <c r="I27" s="25">
        <v>0.02</v>
      </c>
      <c r="J27" s="26">
        <v>15.2</v>
      </c>
    </row>
    <row r="28" spans="1:10" ht="15.75" thickBot="1" x14ac:dyDescent="0.3">
      <c r="A28" s="107"/>
      <c r="B28" s="10" t="s">
        <v>14</v>
      </c>
      <c r="C28" s="11" t="s">
        <v>32</v>
      </c>
      <c r="D28" s="11" t="s">
        <v>33</v>
      </c>
      <c r="E28" s="18">
        <v>10.5</v>
      </c>
      <c r="F28" s="19">
        <v>0.46</v>
      </c>
      <c r="G28" s="19">
        <f>229.7*0.105</f>
        <v>24.118499999999997</v>
      </c>
      <c r="H28" s="12">
        <f>6.7*0.105</f>
        <v>0.70350000000000001</v>
      </c>
      <c r="I28" s="12">
        <f>1.1*0.105</f>
        <v>0.11550000000000001</v>
      </c>
      <c r="J28" s="13">
        <f>48.3*0.105</f>
        <v>5.0714999999999995</v>
      </c>
    </row>
    <row r="29" spans="1:10" ht="16.5" thickBot="1" x14ac:dyDescent="0.3">
      <c r="A29" s="88" t="s">
        <v>15</v>
      </c>
      <c r="B29" s="89"/>
      <c r="C29" s="89"/>
      <c r="D29" s="89"/>
      <c r="E29" s="90"/>
      <c r="F29" s="23">
        <f>SUM(F24:F28)</f>
        <v>45</v>
      </c>
      <c r="G29" s="23">
        <f>SUM(G24:G28)</f>
        <v>533.38850000000002</v>
      </c>
      <c r="H29" s="23">
        <f>SUM(H24:H28)</f>
        <v>11.658100000000001</v>
      </c>
      <c r="I29" s="23">
        <f>SUM(I24:I28)</f>
        <v>22.732366666666667</v>
      </c>
      <c r="J29" s="23">
        <f>SUM(J24:J28)</f>
        <v>68.447066666666672</v>
      </c>
    </row>
    <row r="31" spans="1:10" ht="15.75" thickBot="1" x14ac:dyDescent="0.3">
      <c r="A31" s="80" t="s">
        <v>25</v>
      </c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5.75" x14ac:dyDescent="0.25">
      <c r="A32" s="24"/>
      <c r="B32" s="24"/>
      <c r="C32" s="81" t="s">
        <v>23</v>
      </c>
      <c r="D32" s="81"/>
      <c r="G32" s="82"/>
      <c r="H32" s="82"/>
      <c r="I32" s="82"/>
      <c r="J32" s="82"/>
    </row>
    <row r="33" spans="1:4" x14ac:dyDescent="0.25">
      <c r="A33" s="1"/>
      <c r="B33" s="1"/>
      <c r="C33" s="1"/>
      <c r="D33" s="1"/>
    </row>
    <row r="34" spans="1:4" x14ac:dyDescent="0.25">
      <c r="A34" s="72" t="s">
        <v>24</v>
      </c>
      <c r="B34" s="72"/>
    </row>
    <row r="35" spans="1:4" x14ac:dyDescent="0.25">
      <c r="A35" s="72" t="s">
        <v>26</v>
      </c>
      <c r="B35" s="72"/>
    </row>
    <row r="36" spans="1:4" x14ac:dyDescent="0.25">
      <c r="A36" s="4"/>
    </row>
  </sheetData>
  <mergeCells count="17">
    <mergeCell ref="A34:B34"/>
    <mergeCell ref="A35:B35"/>
    <mergeCell ref="A10:A12"/>
    <mergeCell ref="A13:E13"/>
    <mergeCell ref="A14:A15"/>
    <mergeCell ref="A16:E16"/>
    <mergeCell ref="A24:A28"/>
    <mergeCell ref="A29:E29"/>
    <mergeCell ref="A31:J31"/>
    <mergeCell ref="C32:D32"/>
    <mergeCell ref="G32:J32"/>
    <mergeCell ref="A23:E23"/>
    <mergeCell ref="B1:C1"/>
    <mergeCell ref="G1:J1"/>
    <mergeCell ref="A3:A8"/>
    <mergeCell ref="A9:E9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2022-09-01T14:20:10Z</dcterms:modified>
</cp:coreProperties>
</file>