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07.09 1-4 кл" sheetId="1" r:id="rId1"/>
    <sheet name="07.09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2" l="1"/>
  <c r="I27" i="2"/>
  <c r="H27" i="2"/>
  <c r="G27" i="2"/>
  <c r="J28" i="2"/>
  <c r="I28" i="2"/>
  <c r="H28" i="2"/>
  <c r="G28" i="2"/>
  <c r="J24" i="2"/>
  <c r="I24" i="2"/>
  <c r="H24" i="2"/>
  <c r="G24" i="2"/>
  <c r="J23" i="2"/>
  <c r="I23" i="2"/>
  <c r="H23" i="2"/>
  <c r="G23" i="2"/>
  <c r="J21" i="2"/>
  <c r="I21" i="2"/>
  <c r="H21" i="2"/>
  <c r="G21" i="2"/>
  <c r="J19" i="2"/>
  <c r="I19" i="2"/>
  <c r="H19" i="2"/>
  <c r="G19" i="2"/>
  <c r="J18" i="2"/>
  <c r="I18" i="2"/>
  <c r="H18" i="2"/>
  <c r="G18" i="2"/>
  <c r="J17" i="2"/>
  <c r="I17" i="2"/>
  <c r="H17" i="2"/>
  <c r="G17" i="2"/>
  <c r="J14" i="2"/>
  <c r="I14" i="2"/>
  <c r="H14" i="2"/>
  <c r="G14" i="2"/>
  <c r="J12" i="2" l="1"/>
  <c r="I12" i="2"/>
  <c r="H12" i="2"/>
  <c r="G12" i="2"/>
  <c r="J10" i="2"/>
  <c r="I10" i="2"/>
  <c r="H10" i="2"/>
  <c r="G10" i="2"/>
  <c r="J3" i="2"/>
  <c r="I3" i="2"/>
  <c r="H3" i="2"/>
  <c r="G3" i="2"/>
  <c r="J4" i="2"/>
  <c r="I4" i="2"/>
  <c r="H4" i="2"/>
  <c r="J8" i="2"/>
  <c r="I8" i="2"/>
  <c r="H8" i="2"/>
  <c r="G8" i="2"/>
  <c r="J5" i="2" l="1"/>
  <c r="I5" i="2"/>
  <c r="H5" i="2"/>
  <c r="G5" i="2"/>
  <c r="J21" i="1"/>
  <c r="I21" i="1"/>
  <c r="H21" i="1"/>
  <c r="G21" i="1"/>
  <c r="J23" i="1"/>
  <c r="I23" i="1"/>
  <c r="H23" i="1"/>
  <c r="G23" i="1"/>
  <c r="J19" i="1" l="1"/>
  <c r="I19" i="1"/>
  <c r="H19" i="1"/>
  <c r="G19" i="1"/>
  <c r="J15" i="1"/>
  <c r="I15" i="1"/>
  <c r="H15" i="1"/>
  <c r="G15" i="1"/>
  <c r="J16" i="1" l="1"/>
  <c r="I16" i="1"/>
  <c r="H16" i="1"/>
  <c r="G16" i="1"/>
  <c r="J12" i="1"/>
  <c r="I12" i="1"/>
  <c r="H12" i="1"/>
  <c r="G12" i="1"/>
  <c r="J9" i="1"/>
  <c r="I9" i="1"/>
  <c r="H9" i="1"/>
  <c r="G9" i="1"/>
  <c r="J8" i="1"/>
  <c r="I8" i="1"/>
  <c r="H8" i="1"/>
  <c r="G8" i="1"/>
  <c r="J6" i="1"/>
  <c r="I6" i="1"/>
  <c r="H6" i="1"/>
  <c r="G6" i="1"/>
  <c r="J5" i="1"/>
  <c r="I5" i="1"/>
  <c r="H5" i="1"/>
  <c r="G5" i="1"/>
  <c r="J3" i="1" l="1"/>
  <c r="I3" i="1"/>
  <c r="H3" i="1"/>
  <c r="G3" i="1"/>
  <c r="G16" i="2" l="1"/>
  <c r="F9" i="2"/>
  <c r="G9" i="2" l="1"/>
  <c r="J14" i="1" l="1"/>
  <c r="I14" i="1"/>
  <c r="H14" i="1"/>
  <c r="G14" i="1"/>
  <c r="F20" i="1" l="1"/>
  <c r="J20" i="1" l="1"/>
  <c r="I20" i="1"/>
  <c r="H20" i="1"/>
  <c r="G20" i="1"/>
  <c r="F13" i="1" l="1"/>
  <c r="J29" i="2" l="1"/>
  <c r="H29" i="2"/>
  <c r="F29" i="2"/>
  <c r="G29" i="2"/>
  <c r="I29" i="2"/>
  <c r="G24" i="1" l="1"/>
  <c r="H24" i="1"/>
  <c r="I24" i="1"/>
  <c r="J24" i="1"/>
  <c r="F24" i="1"/>
  <c r="J13" i="1" l="1"/>
  <c r="H13" i="1"/>
  <c r="G13" i="1"/>
  <c r="I13" i="1" l="1"/>
  <c r="F7" i="1"/>
  <c r="G7" i="1"/>
  <c r="H7" i="1"/>
  <c r="I7" i="1"/>
  <c r="J7" i="1"/>
  <c r="F16" i="2" l="1"/>
  <c r="H16" i="2"/>
  <c r="F13" i="2"/>
  <c r="J9" i="2"/>
  <c r="H9" i="2"/>
  <c r="I9" i="2"/>
  <c r="G13" i="2" l="1"/>
  <c r="I13" i="2"/>
  <c r="J16" i="2"/>
  <c r="H13" i="2"/>
  <c r="J13" i="2"/>
  <c r="I16" i="2"/>
  <c r="F22" i="2" l="1"/>
  <c r="J22" i="2" l="1"/>
  <c r="I22" i="2"/>
  <c r="H22" i="2"/>
  <c r="G22" i="2"/>
</calcChain>
</file>

<file path=xl/sharedStrings.xml><?xml version="1.0" encoding="utf-8"?>
<sst xmlns="http://schemas.openxmlformats.org/spreadsheetml/2006/main" count="193" uniqueCount="76">
  <si>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</si>
  <si>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</si>
  <si>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</si>
  <si>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</si>
  <si>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</si>
  <si>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</si>
  <si>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</si>
  <si>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</si>
  <si>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</si>
  <si>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</si>
  <si>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</si>
  <si>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</si>
  <si>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</si>
  <si>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</si>
  <si>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</si>
  <si>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</si>
  <si>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</si>
  <si>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</si>
  <si>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</si>
  <si>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</si>
  <si>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</si>
  <si>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</si>
  <si>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</si>
  <si>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</si>
  <si>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</si>
  <si>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</si>
  <si>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</si>
  <si>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</si>
  <si>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</si>
  <si>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</si>
  <si>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</si>
  <si>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</si>
  <si>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</si>
  <si>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</si>
  <si>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5-11 кл с доплатой 62,50 руб. и льготники с доплатой 42,50 руб. 1 смена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</si>
  <si>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</si>
  <si>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</si>
  <si>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</si>
  <si>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Обед 6-7 кл. 2-я смена</t>
  </si>
  <si>
    <t>№96-2015г.</t>
  </si>
  <si>
    <t>Рассольник ленинградский со сметаной и зеленью</t>
  </si>
  <si>
    <t>250/10/2</t>
  </si>
  <si>
    <t>№268-2015г.</t>
  </si>
  <si>
    <t>Котлета из свинины</t>
  </si>
  <si>
    <t>№2-2015г.</t>
  </si>
  <si>
    <t>Бутерброд с повидлом</t>
  </si>
  <si>
    <t>№71-2015г.</t>
  </si>
  <si>
    <t>Овощи натуральные свежие (огурцы)</t>
  </si>
  <si>
    <t>№302-2015г.</t>
  </si>
  <si>
    <t>Каша рассыпчатая гречневая</t>
  </si>
  <si>
    <t>Фрукт</t>
  </si>
  <si>
    <t>№338-2015г.</t>
  </si>
  <si>
    <t>Яблоко свежее (порциями)</t>
  </si>
  <si>
    <t>ТТК №20</t>
  </si>
  <si>
    <t>40/100</t>
  </si>
  <si>
    <t>Завтрак 1-4 кл и дети-инвалиды 1 смена</t>
  </si>
  <si>
    <t>Плов "Школьный" из индейки</t>
  </si>
  <si>
    <t>ТТК №50</t>
  </si>
  <si>
    <t>№424-2015г.</t>
  </si>
  <si>
    <t>Булочка домашняя</t>
  </si>
  <si>
    <t>Блинчик со сгущённым молоком</t>
  </si>
  <si>
    <t>№223-2015г.</t>
  </si>
  <si>
    <t>Запеканка из творога с молоком сгущённым</t>
  </si>
  <si>
    <t>75/15</t>
  </si>
  <si>
    <t>№3-2015г.</t>
  </si>
  <si>
    <t>Бутерброд с сыром</t>
  </si>
  <si>
    <t>15/5/30</t>
  </si>
  <si>
    <t>№14-2015г.</t>
  </si>
  <si>
    <t>Масло сливочное</t>
  </si>
  <si>
    <t>7</t>
  </si>
  <si>
    <t>№686-2004г.</t>
  </si>
  <si>
    <t>Чай с лимоном</t>
  </si>
  <si>
    <t>200/15/7</t>
  </si>
  <si>
    <t>20/36</t>
  </si>
  <si>
    <t>№410,468-2015г.</t>
  </si>
  <si>
    <t>Ватрушка из дрожжевого теста с фаршем (творожным)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</si>
</sst>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2" fontId="3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2" fontId="2" fillId="0" borderId="5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vertical="center" wrapText="1"/>
    </xf>
    <xf numFmtId="2" fontId="2" fillId="0" borderId="13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2" fontId="2" fillId="0" borderId="15" xfId="0" applyNumberFormat="1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0" fontId="2" fillId="0" borderId="10" xfId="0" applyFont="1" applyBorder="1" applyAlignment="1">
      <alignment horizontal="right" vertical="center" wrapText="1"/>
    </xf>
    <xf numFmtId="2" fontId="2" fillId="0" borderId="10" xfId="0" applyNumberFormat="1" applyFont="1" applyBorder="1" applyAlignment="1">
      <alignment horizontal="right" vertical="center" wrapText="1"/>
    </xf>
    <xf numFmtId="2" fontId="2" fillId="0" borderId="11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2" fontId="3" fillId="0" borderId="23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2" fontId="6" fillId="0" borderId="5" xfId="0" applyNumberFormat="1" applyFont="1" applyBorder="1" applyAlignment="1">
      <alignment horizontal="right" vertical="center" wrapText="1"/>
    </xf>
    <xf numFmtId="2" fontId="6" fillId="0" borderId="13" xfId="0" applyNumberFormat="1" applyFont="1" applyBorder="1" applyAlignment="1">
      <alignment horizontal="right" vertical="center" wrapText="1"/>
    </xf>
    <xf numFmtId="0" fontId="2" fillId="0" borderId="27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2" fontId="3" fillId="0" borderId="29" xfId="0" applyNumberFormat="1" applyFont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2" fontId="6" fillId="0" borderId="10" xfId="0" applyNumberFormat="1" applyFont="1" applyBorder="1" applyAlignment="1">
      <alignment horizontal="right" vertical="center" wrapText="1"/>
    </xf>
    <xf numFmtId="2" fontId="6" fillId="0" borderId="11" xfId="0" applyNumberFormat="1" applyFont="1" applyBorder="1" applyAlignment="1">
      <alignment horizontal="right" vertical="center" wrapText="1"/>
    </xf>
    <xf numFmtId="2" fontId="2" fillId="0" borderId="16" xfId="0" applyNumberFormat="1" applyFont="1" applyBorder="1" applyAlignment="1">
      <alignment horizontal="right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/>
    <xf numFmtId="0" fontId="2" fillId="0" borderId="33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/>
    <xf numFmtId="0" fontId="2" fillId="0" borderId="3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/>
    <xf numFmtId="2" fontId="3" fillId="0" borderId="30" xfId="0" applyNumberFormat="1" applyFont="1" applyBorder="1" applyAlignment="1">
      <alignment vertical="center" wrapText="1"/>
    </xf>
    <xf numFmtId="2" fontId="3" fillId="0" borderId="41" xfId="0" applyNumberFormat="1" applyFont="1" applyBorder="1" applyAlignment="1">
      <alignment vertical="center" wrapText="1"/>
    </xf>
    <xf numFmtId="2" fontId="3" fillId="0" borderId="24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0" fontId="2" fillId="0" borderId="15" xfId="0" applyNumberFormat="1" applyFont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right" vertical="center" wrapText="1"/>
    </xf>
    <xf numFmtId="0" fontId="2" fillId="0" borderId="0" xfId="0" applyFont="1"/>
    <xf numFmtId="0" fontId="2" fillId="0" borderId="9" xfId="0" applyFont="1" applyBorder="1" applyAlignment="1">
      <alignment horizontal="left" vertical="center" wrapText="1"/>
    </xf>
    <xf numFmtId="0" fontId="2" fillId="0" borderId="0" xfId="0" applyFont="1"/>
    <xf numFmtId="0" fontId="7" fillId="0" borderId="40" xfId="0" applyFont="1" applyBorder="1" applyAlignment="1">
      <alignment vertical="center" wrapText="1"/>
    </xf>
    <xf numFmtId="0" fontId="2" fillId="0" borderId="0" xfId="0" applyFont="1"/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3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right" vertical="center" wrapText="1"/>
    </xf>
    <xf numFmtId="0" fontId="3" fillId="0" borderId="28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3" fillId="0" borderId="22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14" fontId="5" fillId="0" borderId="21" xfId="0" applyNumberFormat="1" applyFont="1" applyBorder="1" applyAlignment="1">
      <alignment horizontal="center" vertical="center" wrapText="1"/>
    </xf>
    <xf numFmtId="14" fontId="5" fillId="0" borderId="22" xfId="0" applyNumberFormat="1" applyFont="1" applyBorder="1" applyAlignment="1">
      <alignment horizontal="center" vertical="center" wrapText="1"/>
    </xf>
    <xf numFmtId="14" fontId="5" fillId="0" borderId="2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4" xfId="0" applyFont="1" applyBorder="1" applyAlignment="1">
      <alignment horizontal="right" vertical="center" wrapText="1"/>
    </xf>
    <xf numFmtId="0" fontId="3" fillId="0" borderId="31" xfId="0" applyFont="1" applyBorder="1" applyAlignment="1">
      <alignment horizontal="right" vertical="center" wrapText="1"/>
    </xf>
    <xf numFmtId="0" fontId="3" fillId="0" borderId="39" xfId="0" applyFont="1" applyBorder="1" applyAlignment="1">
      <alignment horizontal="right" vertical="center" wrapText="1"/>
    </xf>
    <xf numFmtId="0" fontId="2" fillId="0" borderId="3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right" vertical="center" wrapText="1"/>
    </xf>
    <xf numFmtId="0" fontId="2" fillId="0" borderId="43" xfId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right" vertical="center" wrapText="1"/>
    </xf>
    <xf numFmtId="2" fontId="2" fillId="0" borderId="10" xfId="1" applyNumberFormat="1" applyFont="1" applyBorder="1" applyAlignment="1">
      <alignment horizontal="right" vertical="center" wrapText="1"/>
    </xf>
    <xf numFmtId="2" fontId="2" fillId="0" borderId="11" xfId="1" applyNumberFormat="1" applyFont="1" applyBorder="1" applyAlignment="1">
      <alignment horizontal="right" vertical="center" wrapText="1"/>
    </xf>
    <xf numFmtId="0" fontId="2" fillId="0" borderId="10" xfId="1" applyFont="1" applyBorder="1" applyAlignment="1">
      <alignment horizontal="left" vertical="center" wrapText="1"/>
    </xf>
    <xf numFmtId="0" fontId="7" fillId="0" borderId="42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B14" sqref="B14:J19"/>
    </sheetView>
  </sheetViews>
  <sheetFormatPr defaultRowHeight="15" x14ac:dyDescent="0.25"/>
  <cols>
    <col min="1" max="1" width="20.140625" style="2" customWidth="1"/>
    <col min="2" max="2" width="24.710937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91" t="s">
        <v>22</v>
      </c>
      <c r="C1" s="92"/>
      <c r="D1" s="1" t="s">
        <v>1</v>
      </c>
      <c r="E1" s="27"/>
      <c r="F1" s="1" t="s">
        <v>2</v>
      </c>
      <c r="G1" s="79">
        <v>44811</v>
      </c>
      <c r="H1" s="80"/>
      <c r="I1" s="80"/>
      <c r="J1" s="81"/>
      <c r="K1" s="1"/>
      <c r="L1" s="1"/>
    </row>
    <row r="2" spans="1:12" ht="15.75" thickBot="1" x14ac:dyDescent="0.3">
      <c r="A2" s="36" t="s">
        <v>3</v>
      </c>
      <c r="B2" s="5" t="s">
        <v>4</v>
      </c>
      <c r="C2" s="37" t="s">
        <v>5</v>
      </c>
      <c r="D2" s="41" t="s">
        <v>6</v>
      </c>
      <c r="E2" s="41" t="s">
        <v>7</v>
      </c>
      <c r="F2" s="41" t="s">
        <v>8</v>
      </c>
      <c r="G2" s="5" t="s">
        <v>9</v>
      </c>
      <c r="H2" s="5" t="s">
        <v>10</v>
      </c>
      <c r="I2" s="5" t="s">
        <v>11</v>
      </c>
      <c r="J2" s="38" t="s">
        <v>12</v>
      </c>
    </row>
    <row r="3" spans="1:12" ht="15" customHeight="1" x14ac:dyDescent="0.25">
      <c r="A3" s="82" t="s">
        <v>55</v>
      </c>
      <c r="B3" s="21" t="s">
        <v>13</v>
      </c>
      <c r="C3" s="22" t="s">
        <v>53</v>
      </c>
      <c r="D3" s="22" t="s">
        <v>56</v>
      </c>
      <c r="E3" s="14" t="s">
        <v>54</v>
      </c>
      <c r="F3" s="15">
        <v>49.73</v>
      </c>
      <c r="G3" s="33">
        <f>280.7</f>
        <v>280.7</v>
      </c>
      <c r="H3" s="33">
        <f>14</f>
        <v>14</v>
      </c>
      <c r="I3" s="33">
        <f>14.1</f>
        <v>14.1</v>
      </c>
      <c r="J3" s="34">
        <f>24.5</f>
        <v>24.5</v>
      </c>
    </row>
    <row r="4" spans="1:12" s="62" customFormat="1" x14ac:dyDescent="0.25">
      <c r="A4" s="82"/>
      <c r="B4" s="8" t="s">
        <v>18</v>
      </c>
      <c r="C4" s="6" t="s">
        <v>19</v>
      </c>
      <c r="D4" s="6" t="s">
        <v>20</v>
      </c>
      <c r="E4" s="17" t="s">
        <v>33</v>
      </c>
      <c r="F4" s="7">
        <v>2.5</v>
      </c>
      <c r="G4" s="7">
        <v>60</v>
      </c>
      <c r="H4" s="7">
        <v>7.0000000000000007E-2</v>
      </c>
      <c r="I4" s="7">
        <v>0.02</v>
      </c>
      <c r="J4" s="9">
        <v>15</v>
      </c>
    </row>
    <row r="5" spans="1:12" s="47" customFormat="1" ht="15" customHeight="1" x14ac:dyDescent="0.25">
      <c r="A5" s="82"/>
      <c r="B5" s="8" t="s">
        <v>21</v>
      </c>
      <c r="C5" s="52" t="s">
        <v>57</v>
      </c>
      <c r="D5" s="65" t="s">
        <v>60</v>
      </c>
      <c r="E5" s="17">
        <v>100</v>
      </c>
      <c r="F5" s="7">
        <v>43.65</v>
      </c>
      <c r="G5" s="53">
        <f>192.8/90*100</f>
        <v>214.22222222222223</v>
      </c>
      <c r="H5" s="25">
        <f>2.9/9*10</f>
        <v>3.2222222222222219</v>
      </c>
      <c r="I5" s="25">
        <f>7.6/9*10</f>
        <v>8.4444444444444446</v>
      </c>
      <c r="J5" s="26">
        <f>28.3/9*10</f>
        <v>31.444444444444443</v>
      </c>
    </row>
    <row r="6" spans="1:12" s="43" customFormat="1" ht="15.75" thickBot="1" x14ac:dyDescent="0.3">
      <c r="A6" s="82"/>
      <c r="B6" s="10" t="s">
        <v>14</v>
      </c>
      <c r="C6" s="11" t="s">
        <v>31</v>
      </c>
      <c r="D6" s="11" t="s">
        <v>32</v>
      </c>
      <c r="E6" s="18">
        <v>28.5</v>
      </c>
      <c r="F6" s="19">
        <v>1.27</v>
      </c>
      <c r="G6" s="19">
        <f>229.7*0.285</f>
        <v>65.464499999999987</v>
      </c>
      <c r="H6" s="12">
        <f>6.7*0.285</f>
        <v>1.9095</v>
      </c>
      <c r="I6" s="12">
        <f>1.1*0.285</f>
        <v>0.3135</v>
      </c>
      <c r="J6" s="13">
        <f>48.3*0.285</f>
        <v>13.765499999999998</v>
      </c>
    </row>
    <row r="7" spans="1:12" ht="16.5" thickBot="1" x14ac:dyDescent="0.3">
      <c r="A7" s="71" t="s">
        <v>15</v>
      </c>
      <c r="B7" s="74"/>
      <c r="C7" s="74"/>
      <c r="D7" s="74"/>
      <c r="E7" s="97"/>
      <c r="F7" s="49">
        <f>SUM(F3:F6)</f>
        <v>97.149999999999991</v>
      </c>
      <c r="G7" s="49">
        <f>SUM(G3:G6)</f>
        <v>620.38672222222226</v>
      </c>
      <c r="H7" s="50">
        <f>SUM(H3:H6)</f>
        <v>19.201722222222223</v>
      </c>
      <c r="I7" s="23">
        <f>SUM(I3:I6)</f>
        <v>22.877944444444445</v>
      </c>
      <c r="J7" s="51">
        <f>SUM(J3:J6)</f>
        <v>84.709944444444446</v>
      </c>
    </row>
    <row r="8" spans="1:12" x14ac:dyDescent="0.25">
      <c r="A8" s="73" t="s">
        <v>27</v>
      </c>
      <c r="B8" s="21" t="s">
        <v>16</v>
      </c>
      <c r="C8" s="22" t="s">
        <v>39</v>
      </c>
      <c r="D8" s="22" t="s">
        <v>40</v>
      </c>
      <c r="E8" s="14" t="s">
        <v>41</v>
      </c>
      <c r="F8" s="15">
        <v>11.92</v>
      </c>
      <c r="G8" s="15">
        <f>429*0.25+162*0.1</f>
        <v>123.45</v>
      </c>
      <c r="H8" s="15">
        <f>8.07*0.25+2.6*0.1</f>
        <v>2.2774999999999999</v>
      </c>
      <c r="I8" s="15">
        <f>20.36*0.25+15*0.1</f>
        <v>6.59</v>
      </c>
      <c r="J8" s="16">
        <f>47.92*0.25+3.6*0.1</f>
        <v>12.34</v>
      </c>
      <c r="K8"/>
    </row>
    <row r="9" spans="1:12" x14ac:dyDescent="0.25">
      <c r="A9" s="73"/>
      <c r="B9" s="8" t="s">
        <v>13</v>
      </c>
      <c r="C9" s="6" t="s">
        <v>42</v>
      </c>
      <c r="D9" s="6" t="s">
        <v>43</v>
      </c>
      <c r="E9" s="17">
        <v>30</v>
      </c>
      <c r="F9" s="7">
        <v>14.06</v>
      </c>
      <c r="G9" s="25">
        <f>182/50*30</f>
        <v>109.2</v>
      </c>
      <c r="H9" s="25">
        <f>6.74/50*30</f>
        <v>4.0440000000000005</v>
      </c>
      <c r="I9" s="25">
        <f>13.91/50*30</f>
        <v>8.3460000000000001</v>
      </c>
      <c r="J9" s="26">
        <f>7.09/50*30</f>
        <v>4.2540000000000004</v>
      </c>
      <c r="K9"/>
    </row>
    <row r="10" spans="1:12" s="31" customFormat="1" x14ac:dyDescent="0.25">
      <c r="A10" s="73"/>
      <c r="B10" s="8" t="s">
        <v>17</v>
      </c>
      <c r="C10" s="6" t="s">
        <v>48</v>
      </c>
      <c r="D10" s="6" t="s">
        <v>49</v>
      </c>
      <c r="E10" s="17">
        <v>100</v>
      </c>
      <c r="F10" s="7">
        <v>12.21</v>
      </c>
      <c r="G10" s="58">
        <v>162.5</v>
      </c>
      <c r="H10" s="58">
        <v>5.73</v>
      </c>
      <c r="I10" s="58">
        <v>4.0599999999999996</v>
      </c>
      <c r="J10" s="59">
        <v>25.76</v>
      </c>
      <c r="K10"/>
    </row>
    <row r="11" spans="1:12" s="31" customFormat="1" x14ac:dyDescent="0.25">
      <c r="A11" s="73"/>
      <c r="B11" s="8" t="s">
        <v>18</v>
      </c>
      <c r="C11" s="6" t="s">
        <v>19</v>
      </c>
      <c r="D11" s="6" t="s">
        <v>20</v>
      </c>
      <c r="E11" s="17" t="s">
        <v>33</v>
      </c>
      <c r="F11" s="7">
        <v>2.5</v>
      </c>
      <c r="G11" s="7">
        <v>60</v>
      </c>
      <c r="H11" s="7">
        <v>7.0000000000000007E-2</v>
      </c>
      <c r="I11" s="7">
        <v>0.02</v>
      </c>
      <c r="J11" s="9">
        <v>15</v>
      </c>
    </row>
    <row r="12" spans="1:12" ht="15.75" thickBot="1" x14ac:dyDescent="0.3">
      <c r="A12" s="73"/>
      <c r="B12" s="10" t="s">
        <v>14</v>
      </c>
      <c r="C12" s="11" t="s">
        <v>31</v>
      </c>
      <c r="D12" s="11" t="s">
        <v>32</v>
      </c>
      <c r="E12" s="18">
        <v>36</v>
      </c>
      <c r="F12" s="19">
        <v>1.6</v>
      </c>
      <c r="G12" s="19">
        <f>229.7*0.36</f>
        <v>82.691999999999993</v>
      </c>
      <c r="H12" s="12">
        <f>6.7*0.36</f>
        <v>2.4119999999999999</v>
      </c>
      <c r="I12" s="12">
        <f>1.1*0.36</f>
        <v>0.39600000000000002</v>
      </c>
      <c r="J12" s="13">
        <f>48.3*0.36</f>
        <v>17.387999999999998</v>
      </c>
    </row>
    <row r="13" spans="1:12" ht="16.5" thickBot="1" x14ac:dyDescent="0.3">
      <c r="A13" s="98" t="s">
        <v>15</v>
      </c>
      <c r="B13" s="72"/>
      <c r="C13" s="72"/>
      <c r="D13" s="72"/>
      <c r="E13" s="90"/>
      <c r="F13" s="30">
        <f>SUM(F8:F12)</f>
        <v>42.29</v>
      </c>
      <c r="G13" s="30">
        <f t="shared" ref="G13:J13" si="0">SUM(G8:G12)</f>
        <v>537.84199999999998</v>
      </c>
      <c r="H13" s="30">
        <f t="shared" si="0"/>
        <v>14.5335</v>
      </c>
      <c r="I13" s="30">
        <f t="shared" si="0"/>
        <v>19.411999999999999</v>
      </c>
      <c r="J13" s="30">
        <f t="shared" si="0"/>
        <v>74.74199999999999</v>
      </c>
    </row>
    <row r="14" spans="1:12" s="42" customFormat="1" x14ac:dyDescent="0.25">
      <c r="A14" s="70" t="s">
        <v>28</v>
      </c>
      <c r="B14" s="21" t="s">
        <v>16</v>
      </c>
      <c r="C14" s="22" t="s">
        <v>39</v>
      </c>
      <c r="D14" s="22" t="s">
        <v>40</v>
      </c>
      <c r="E14" s="14" t="s">
        <v>41</v>
      </c>
      <c r="F14" s="15">
        <v>11.92</v>
      </c>
      <c r="G14" s="15">
        <f>429*0.25+162*0.1</f>
        <v>123.45</v>
      </c>
      <c r="H14" s="15">
        <f>8.07*0.25+2.6*0.1</f>
        <v>2.2774999999999999</v>
      </c>
      <c r="I14" s="15">
        <f>20.36*0.25+15*0.1</f>
        <v>6.59</v>
      </c>
      <c r="J14" s="16">
        <f>47.92*0.25+3.6*0.1</f>
        <v>12.34</v>
      </c>
    </row>
    <row r="15" spans="1:12" s="64" customFormat="1" x14ac:dyDescent="0.25">
      <c r="A15" s="100"/>
      <c r="B15" s="8" t="s">
        <v>13</v>
      </c>
      <c r="C15" s="52" t="s">
        <v>61</v>
      </c>
      <c r="D15" s="57" t="s">
        <v>62</v>
      </c>
      <c r="E15" s="17" t="s">
        <v>63</v>
      </c>
      <c r="F15" s="7">
        <v>45.77</v>
      </c>
      <c r="G15" s="58">
        <f>282*0.75+260*0.15</f>
        <v>250.5</v>
      </c>
      <c r="H15" s="58">
        <f>15.12*0.75+7.5*0.15</f>
        <v>12.465</v>
      </c>
      <c r="I15" s="58">
        <f>14.1*0.75+0.2*0.15</f>
        <v>10.604999999999999</v>
      </c>
      <c r="J15" s="59">
        <f>22.5*0.75+56.8*0.15</f>
        <v>25.395</v>
      </c>
    </row>
    <row r="16" spans="1:12" s="28" customFormat="1" x14ac:dyDescent="0.25">
      <c r="A16" s="100"/>
      <c r="B16" s="8" t="s">
        <v>13</v>
      </c>
      <c r="C16" s="6" t="s">
        <v>42</v>
      </c>
      <c r="D16" s="6" t="s">
        <v>43</v>
      </c>
      <c r="E16" s="17">
        <v>50</v>
      </c>
      <c r="F16" s="7">
        <v>23.43</v>
      </c>
      <c r="G16" s="25">
        <f>182/50*50</f>
        <v>182</v>
      </c>
      <c r="H16" s="25">
        <f>6.74/50*50</f>
        <v>6.74</v>
      </c>
      <c r="I16" s="25">
        <f>13.91/50*50</f>
        <v>13.91</v>
      </c>
      <c r="J16" s="26">
        <f>7.09/50*50</f>
        <v>7.0900000000000007</v>
      </c>
      <c r="K16"/>
    </row>
    <row r="17" spans="1:11" s="40" customFormat="1" x14ac:dyDescent="0.25">
      <c r="A17" s="100"/>
      <c r="B17" s="8" t="s">
        <v>17</v>
      </c>
      <c r="C17" s="6" t="s">
        <v>48</v>
      </c>
      <c r="D17" s="6" t="s">
        <v>49</v>
      </c>
      <c r="E17" s="17">
        <v>100</v>
      </c>
      <c r="F17" s="7">
        <v>12.21</v>
      </c>
      <c r="G17" s="58">
        <v>162.5</v>
      </c>
      <c r="H17" s="58">
        <v>5.73</v>
      </c>
      <c r="I17" s="58">
        <v>4.0599999999999996</v>
      </c>
      <c r="J17" s="59">
        <v>25.76</v>
      </c>
      <c r="K17"/>
    </row>
    <row r="18" spans="1:11" s="39" customFormat="1" x14ac:dyDescent="0.25">
      <c r="A18" s="100"/>
      <c r="B18" s="8" t="s">
        <v>18</v>
      </c>
      <c r="C18" s="6" t="s">
        <v>19</v>
      </c>
      <c r="D18" s="6" t="s">
        <v>20</v>
      </c>
      <c r="E18" s="17" t="s">
        <v>33</v>
      </c>
      <c r="F18" s="7">
        <v>2.5</v>
      </c>
      <c r="G18" s="7">
        <v>60</v>
      </c>
      <c r="H18" s="7">
        <v>7.0000000000000007E-2</v>
      </c>
      <c r="I18" s="7">
        <v>0.02</v>
      </c>
      <c r="J18" s="9">
        <v>15</v>
      </c>
    </row>
    <row r="19" spans="1:11" s="39" customFormat="1" ht="15.75" thickBot="1" x14ac:dyDescent="0.3">
      <c r="A19" s="100"/>
      <c r="B19" s="10" t="s">
        <v>14</v>
      </c>
      <c r="C19" s="11" t="s">
        <v>31</v>
      </c>
      <c r="D19" s="11" t="s">
        <v>32</v>
      </c>
      <c r="E19" s="18">
        <v>29.5</v>
      </c>
      <c r="F19" s="19">
        <v>1.32</v>
      </c>
      <c r="G19" s="19">
        <f>229.7*0.295</f>
        <v>67.761499999999998</v>
      </c>
      <c r="H19" s="12">
        <f>6.7*0.295</f>
        <v>1.9764999999999999</v>
      </c>
      <c r="I19" s="12">
        <f>1.1*0.295</f>
        <v>0.32450000000000001</v>
      </c>
      <c r="J19" s="13">
        <f>48.3*0.295</f>
        <v>14.248499999999998</v>
      </c>
    </row>
    <row r="20" spans="1:11" s="32" customFormat="1" ht="16.5" thickBot="1" x14ac:dyDescent="0.3">
      <c r="A20" s="71" t="s">
        <v>15</v>
      </c>
      <c r="B20" s="84"/>
      <c r="C20" s="84"/>
      <c r="D20" s="84"/>
      <c r="E20" s="99"/>
      <c r="F20" s="20">
        <f>SUM(F14:F19)</f>
        <v>97.15</v>
      </c>
      <c r="G20" s="20">
        <f>SUM(G14:G19)</f>
        <v>846.2115</v>
      </c>
      <c r="H20" s="20">
        <f>SUM(H14:H19)</f>
        <v>29.259000000000004</v>
      </c>
      <c r="I20" s="20">
        <f>SUM(I14:I19)</f>
        <v>35.509500000000003</v>
      </c>
      <c r="J20" s="20">
        <f>SUM(J14:J19)</f>
        <v>99.833500000000001</v>
      </c>
      <c r="K20"/>
    </row>
    <row r="21" spans="1:11" s="39" customFormat="1" x14ac:dyDescent="0.25">
      <c r="A21" s="73" t="s">
        <v>29</v>
      </c>
      <c r="B21" s="63" t="s">
        <v>30</v>
      </c>
      <c r="C21" s="55" t="s">
        <v>64</v>
      </c>
      <c r="D21" s="102" t="s">
        <v>65</v>
      </c>
      <c r="E21" s="103" t="s">
        <v>66</v>
      </c>
      <c r="F21" s="14">
        <v>24.65</v>
      </c>
      <c r="G21" s="15">
        <f>364*0.15+660*0.05+280*0.3</f>
        <v>171.6</v>
      </c>
      <c r="H21" s="104">
        <f>23.2*0.15+0.8*0.05+8*0.3</f>
        <v>5.92</v>
      </c>
      <c r="I21" s="104">
        <f>29.5*0.15+72.5*0.05+3*0.3</f>
        <v>8.9500000000000011</v>
      </c>
      <c r="J21" s="105">
        <f>0+1.3*0.05+54*0.3</f>
        <v>16.265000000000001</v>
      </c>
      <c r="K21"/>
    </row>
    <row r="22" spans="1:11" s="48" customFormat="1" x14ac:dyDescent="0.25">
      <c r="A22" s="73"/>
      <c r="B22" s="8" t="s">
        <v>18</v>
      </c>
      <c r="C22" s="6" t="s">
        <v>19</v>
      </c>
      <c r="D22" s="6" t="s">
        <v>20</v>
      </c>
      <c r="E22" s="17" t="s">
        <v>33</v>
      </c>
      <c r="F22" s="7">
        <v>2.5</v>
      </c>
      <c r="G22" s="7">
        <v>60</v>
      </c>
      <c r="H22" s="7">
        <v>7.0000000000000007E-2</v>
      </c>
      <c r="I22" s="7">
        <v>0.02</v>
      </c>
      <c r="J22" s="9">
        <v>15</v>
      </c>
      <c r="K22"/>
    </row>
    <row r="23" spans="1:11" s="40" customFormat="1" ht="15.75" thickBot="1" x14ac:dyDescent="0.3">
      <c r="A23" s="73"/>
      <c r="B23" s="10" t="s">
        <v>50</v>
      </c>
      <c r="C23" s="11" t="s">
        <v>51</v>
      </c>
      <c r="D23" s="11" t="s">
        <v>52</v>
      </c>
      <c r="E23" s="60">
        <v>97</v>
      </c>
      <c r="F23" s="12">
        <v>15.14</v>
      </c>
      <c r="G23" s="61">
        <f>47*0.97</f>
        <v>45.589999999999996</v>
      </c>
      <c r="H23" s="19">
        <f>0.4*0.97</f>
        <v>0.38800000000000001</v>
      </c>
      <c r="I23" s="19">
        <f>0.4*0.97</f>
        <v>0.38800000000000001</v>
      </c>
      <c r="J23" s="35">
        <f>9.8*0.97</f>
        <v>9.5060000000000002</v>
      </c>
    </row>
    <row r="24" spans="1:11" ht="16.5" thickBot="1" x14ac:dyDescent="0.3">
      <c r="A24" s="93" t="s">
        <v>15</v>
      </c>
      <c r="B24" s="95"/>
      <c r="C24" s="95"/>
      <c r="D24" s="95"/>
      <c r="E24" s="96"/>
      <c r="F24" s="3">
        <f>SUM(F21:F23)</f>
        <v>42.29</v>
      </c>
      <c r="G24" s="3">
        <f>SUM(G21:G23)</f>
        <v>277.19</v>
      </c>
      <c r="H24" s="3">
        <f>SUM(H21:H23)</f>
        <v>6.3780000000000001</v>
      </c>
      <c r="I24" s="3">
        <f>SUM(I21:I23)</f>
        <v>9.3580000000000005</v>
      </c>
      <c r="J24" s="3">
        <f>SUM(J21:J23)</f>
        <v>40.771000000000001</v>
      </c>
      <c r="K24"/>
    </row>
    <row r="26" spans="1:11" ht="15.75" thickBot="1" x14ac:dyDescent="0.3">
      <c r="A26" s="66" t="s">
        <v>25</v>
      </c>
      <c r="B26" s="66"/>
      <c r="C26" s="66"/>
      <c r="D26" s="66"/>
      <c r="E26" s="66"/>
      <c r="F26" s="66"/>
      <c r="G26" s="66"/>
      <c r="H26" s="66"/>
      <c r="I26" s="66"/>
      <c r="J26" s="66"/>
    </row>
    <row r="27" spans="1:11" ht="15.75" x14ac:dyDescent="0.25">
      <c r="A27" s="24"/>
      <c r="B27" s="24"/>
      <c r="C27" s="67" t="s">
        <v>23</v>
      </c>
      <c r="D27" s="67"/>
      <c r="G27" s="68"/>
      <c r="H27" s="68"/>
      <c r="I27" s="68"/>
      <c r="J27" s="68"/>
    </row>
    <row r="28" spans="1:11" x14ac:dyDescent="0.25">
      <c r="A28" s="1"/>
      <c r="B28" s="1"/>
      <c r="C28" s="1"/>
      <c r="D28" s="1"/>
    </row>
    <row r="29" spans="1:11" x14ac:dyDescent="0.25">
      <c r="A29" s="69" t="s">
        <v>24</v>
      </c>
      <c r="B29" s="69"/>
    </row>
    <row r="30" spans="1:11" x14ac:dyDescent="0.25">
      <c r="A30" s="69" t="s">
        <v>26</v>
      </c>
      <c r="B30" s="69"/>
    </row>
    <row r="31" spans="1:11" x14ac:dyDescent="0.25">
      <c r="A31" s="4"/>
    </row>
  </sheetData>
  <mergeCells count="15">
    <mergeCell ref="A29:B29"/>
    <mergeCell ref="A30:B30"/>
    <mergeCell ref="A3:A6"/>
    <mergeCell ref="A21:A23"/>
    <mergeCell ref="A24:E24"/>
    <mergeCell ref="A14:A19"/>
    <mergeCell ref="B1:C1"/>
    <mergeCell ref="G1:J1"/>
    <mergeCell ref="C27:D27"/>
    <mergeCell ref="A26:J26"/>
    <mergeCell ref="G27:J27"/>
    <mergeCell ref="A7:E7"/>
    <mergeCell ref="A8:A12"/>
    <mergeCell ref="A13:E13"/>
    <mergeCell ref="A20:E2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J28" sqref="J28"/>
    </sheetView>
  </sheetViews>
  <sheetFormatPr defaultRowHeight="15" x14ac:dyDescent="0.25"/>
  <cols>
    <col min="1" max="1" width="27.85546875" style="2" customWidth="1"/>
    <col min="2" max="2" width="24.7109375" style="2" customWidth="1"/>
    <col min="3" max="3" width="12.28515625" style="2" customWidth="1"/>
    <col min="4" max="4" width="47.8554687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77" t="s">
        <v>22</v>
      </c>
      <c r="C1" s="78"/>
      <c r="D1" s="1" t="s">
        <v>1</v>
      </c>
      <c r="E1" s="27"/>
      <c r="F1" s="1" t="s">
        <v>2</v>
      </c>
      <c r="G1" s="79">
        <v>44811</v>
      </c>
      <c r="H1" s="80"/>
      <c r="I1" s="80"/>
      <c r="J1" s="81"/>
      <c r="K1" s="1"/>
      <c r="L1" s="1"/>
    </row>
    <row r="2" spans="1:12" ht="15.75" thickBot="1" x14ac:dyDescent="0.3">
      <c r="A2" s="36" t="s">
        <v>3</v>
      </c>
      <c r="B2" s="44" t="s">
        <v>4</v>
      </c>
      <c r="C2" s="45" t="s">
        <v>5</v>
      </c>
      <c r="D2" s="45" t="s">
        <v>6</v>
      </c>
      <c r="E2" s="45" t="s">
        <v>7</v>
      </c>
      <c r="F2" s="45" t="s">
        <v>8</v>
      </c>
      <c r="G2" s="45" t="s">
        <v>9</v>
      </c>
      <c r="H2" s="45" t="s">
        <v>10</v>
      </c>
      <c r="I2" s="45" t="s">
        <v>11</v>
      </c>
      <c r="J2" s="46" t="s">
        <v>12</v>
      </c>
    </row>
    <row r="3" spans="1:12" x14ac:dyDescent="0.25">
      <c r="A3" s="82" t="s">
        <v>34</v>
      </c>
      <c r="B3" s="63" t="s">
        <v>30</v>
      </c>
      <c r="C3" s="55" t="s">
        <v>67</v>
      </c>
      <c r="D3" s="106" t="s">
        <v>68</v>
      </c>
      <c r="E3" s="103" t="s">
        <v>69</v>
      </c>
      <c r="F3" s="14">
        <v>7.31</v>
      </c>
      <c r="G3" s="15">
        <f>66*0.7</f>
        <v>46.199999999999996</v>
      </c>
      <c r="H3" s="104">
        <f>0.08*0.7</f>
        <v>5.5999999999999994E-2</v>
      </c>
      <c r="I3" s="104">
        <f>7.25*0.7</f>
        <v>5.0749999999999993</v>
      </c>
      <c r="J3" s="105">
        <f>0.13*0.7</f>
        <v>9.0999999999999998E-2</v>
      </c>
    </row>
    <row r="4" spans="1:12" s="64" customFormat="1" x14ac:dyDescent="0.25">
      <c r="A4" s="82"/>
      <c r="B4" s="8" t="s">
        <v>30</v>
      </c>
      <c r="C4" s="6" t="s">
        <v>46</v>
      </c>
      <c r="D4" s="6" t="s">
        <v>47</v>
      </c>
      <c r="E4" s="17">
        <v>30</v>
      </c>
      <c r="F4" s="7">
        <v>3.99</v>
      </c>
      <c r="G4" s="25">
        <v>3.6</v>
      </c>
      <c r="H4" s="25">
        <f>0.065/10*30</f>
        <v>0.19500000000000001</v>
      </c>
      <c r="I4" s="25">
        <f>0.015/10*30</f>
        <v>4.4999999999999998E-2</v>
      </c>
      <c r="J4" s="26">
        <f>0.195/10*30</f>
        <v>0.58499999999999996</v>
      </c>
    </row>
    <row r="5" spans="1:12" s="43" customFormat="1" x14ac:dyDescent="0.25">
      <c r="A5" s="82"/>
      <c r="B5" s="8" t="s">
        <v>13</v>
      </c>
      <c r="C5" s="6" t="s">
        <v>53</v>
      </c>
      <c r="D5" s="6" t="s">
        <v>56</v>
      </c>
      <c r="E5" s="17" t="s">
        <v>54</v>
      </c>
      <c r="F5" s="7">
        <v>49.73</v>
      </c>
      <c r="G5" s="25">
        <f>280.7</f>
        <v>280.7</v>
      </c>
      <c r="H5" s="25">
        <f>14</f>
        <v>14</v>
      </c>
      <c r="I5" s="25">
        <f>14.1</f>
        <v>14.1</v>
      </c>
      <c r="J5" s="26">
        <f>24.5</f>
        <v>24.5</v>
      </c>
    </row>
    <row r="6" spans="1:12" s="47" customFormat="1" x14ac:dyDescent="0.25">
      <c r="A6" s="82"/>
      <c r="B6" s="8" t="s">
        <v>18</v>
      </c>
      <c r="C6" s="6" t="s">
        <v>19</v>
      </c>
      <c r="D6" s="6" t="s">
        <v>20</v>
      </c>
      <c r="E6" s="17" t="s">
        <v>33</v>
      </c>
      <c r="F6" s="7">
        <v>2.5</v>
      </c>
      <c r="G6" s="7">
        <v>60</v>
      </c>
      <c r="H6" s="7">
        <v>7.0000000000000007E-2</v>
      </c>
      <c r="I6" s="7">
        <v>0.02</v>
      </c>
      <c r="J6" s="9">
        <v>15</v>
      </c>
    </row>
    <row r="7" spans="1:12" x14ac:dyDescent="0.25">
      <c r="A7" s="82"/>
      <c r="B7" s="8" t="s">
        <v>21</v>
      </c>
      <c r="C7" s="52" t="s">
        <v>58</v>
      </c>
      <c r="D7" s="6" t="s">
        <v>59</v>
      </c>
      <c r="E7" s="17">
        <v>50</v>
      </c>
      <c r="F7" s="7">
        <v>4.76</v>
      </c>
      <c r="G7" s="53">
        <v>159</v>
      </c>
      <c r="H7" s="53">
        <v>3.64</v>
      </c>
      <c r="I7" s="53">
        <v>6.26</v>
      </c>
      <c r="J7" s="54">
        <v>21.96</v>
      </c>
    </row>
    <row r="8" spans="1:12" ht="15.75" thickBot="1" x14ac:dyDescent="0.3">
      <c r="A8" s="82"/>
      <c r="B8" s="10" t="s">
        <v>14</v>
      </c>
      <c r="C8" s="11" t="s">
        <v>31</v>
      </c>
      <c r="D8" s="11" t="s">
        <v>32</v>
      </c>
      <c r="E8" s="18">
        <v>27</v>
      </c>
      <c r="F8" s="19">
        <v>1.21</v>
      </c>
      <c r="G8" s="19">
        <f>229.7*0.27</f>
        <v>62.018999999999998</v>
      </c>
      <c r="H8" s="12">
        <f>6.7*0.27</f>
        <v>1.8090000000000002</v>
      </c>
      <c r="I8" s="12">
        <f>1.1*0.27</f>
        <v>0.29700000000000004</v>
      </c>
      <c r="J8" s="13">
        <f>48.3*0.27</f>
        <v>13.041</v>
      </c>
    </row>
    <row r="9" spans="1:12" ht="16.5" thickBot="1" x14ac:dyDescent="0.3">
      <c r="A9" s="83" t="s">
        <v>15</v>
      </c>
      <c r="B9" s="84"/>
      <c r="C9" s="84"/>
      <c r="D9" s="84"/>
      <c r="E9" s="85"/>
      <c r="F9" s="20">
        <f>SUM(F3:F8)</f>
        <v>69.5</v>
      </c>
      <c r="G9" s="20">
        <f>SUM(G3:G8)</f>
        <v>611.51900000000001</v>
      </c>
      <c r="H9" s="20">
        <f>SUM(H3:H8)</f>
        <v>19.77</v>
      </c>
      <c r="I9" s="20">
        <f>SUM(I3:I8)</f>
        <v>25.797000000000001</v>
      </c>
      <c r="J9" s="20">
        <f>SUM(J3:J8)</f>
        <v>75.177000000000007</v>
      </c>
    </row>
    <row r="10" spans="1:12" s="29" customFormat="1" ht="15.75" x14ac:dyDescent="0.25">
      <c r="A10" s="86" t="s">
        <v>35</v>
      </c>
      <c r="B10" s="21" t="s">
        <v>21</v>
      </c>
      <c r="C10" s="55" t="s">
        <v>57</v>
      </c>
      <c r="D10" s="107" t="s">
        <v>60</v>
      </c>
      <c r="E10" s="14">
        <v>50</v>
      </c>
      <c r="F10" s="15">
        <v>21.83</v>
      </c>
      <c r="G10" s="56">
        <f>192.8/90*50</f>
        <v>107.11111111111111</v>
      </c>
      <c r="H10" s="33">
        <f>2.9/9*5</f>
        <v>1.6111111111111109</v>
      </c>
      <c r="I10" s="33">
        <f>7.6/9*5</f>
        <v>4.2222222222222223</v>
      </c>
      <c r="J10" s="34">
        <f>28.3/9*5</f>
        <v>15.722222222222221</v>
      </c>
      <c r="K10"/>
    </row>
    <row r="11" spans="1:12" s="29" customFormat="1" x14ac:dyDescent="0.25">
      <c r="A11" s="87"/>
      <c r="B11" s="8" t="s">
        <v>18</v>
      </c>
      <c r="C11" s="6" t="s">
        <v>70</v>
      </c>
      <c r="D11" s="6" t="s">
        <v>71</v>
      </c>
      <c r="E11" s="17" t="s">
        <v>72</v>
      </c>
      <c r="F11" s="7">
        <v>4.03</v>
      </c>
      <c r="G11" s="7">
        <v>62</v>
      </c>
      <c r="H11" s="7">
        <v>0.13</v>
      </c>
      <c r="I11" s="7">
        <v>0.02</v>
      </c>
      <c r="J11" s="9">
        <v>15.2</v>
      </c>
    </row>
    <row r="12" spans="1:12" s="32" customFormat="1" ht="15.75" thickBot="1" x14ac:dyDescent="0.3">
      <c r="A12" s="88"/>
      <c r="B12" s="10" t="s">
        <v>14</v>
      </c>
      <c r="C12" s="11" t="s">
        <v>31</v>
      </c>
      <c r="D12" s="11" t="s">
        <v>32</v>
      </c>
      <c r="E12" s="18">
        <v>25.5</v>
      </c>
      <c r="F12" s="19">
        <v>1.1399999999999999</v>
      </c>
      <c r="G12" s="19">
        <f>229.7*0.255</f>
        <v>58.573499999999996</v>
      </c>
      <c r="H12" s="12">
        <f>6.7*0.255</f>
        <v>1.7085000000000001</v>
      </c>
      <c r="I12" s="12">
        <f>1.1*0.255</f>
        <v>0.28050000000000003</v>
      </c>
      <c r="J12" s="13">
        <f>48.3*0.255</f>
        <v>12.3165</v>
      </c>
    </row>
    <row r="13" spans="1:12" ht="16.5" thickBot="1" x14ac:dyDescent="0.3">
      <c r="A13" s="89" t="s">
        <v>15</v>
      </c>
      <c r="B13" s="84"/>
      <c r="C13" s="84"/>
      <c r="D13" s="84"/>
      <c r="E13" s="85"/>
      <c r="F13" s="20">
        <f>SUM(F10:F12)</f>
        <v>27</v>
      </c>
      <c r="G13" s="20">
        <f>SUM(G10:G12)</f>
        <v>227.68461111111111</v>
      </c>
      <c r="H13" s="20">
        <f>SUM(H10:H12)</f>
        <v>3.4496111111111114</v>
      </c>
      <c r="I13" s="20">
        <f>SUM(I10:I12)</f>
        <v>4.5227222222222219</v>
      </c>
      <c r="J13" s="20">
        <f>SUM(J10:J12)</f>
        <v>43.238722222222222</v>
      </c>
    </row>
    <row r="14" spans="1:12" s="31" customFormat="1" x14ac:dyDescent="0.25">
      <c r="A14" s="86" t="s">
        <v>36</v>
      </c>
      <c r="B14" s="21" t="s">
        <v>30</v>
      </c>
      <c r="C14" s="22" t="s">
        <v>44</v>
      </c>
      <c r="D14" s="22" t="s">
        <v>45</v>
      </c>
      <c r="E14" s="14" t="s">
        <v>73</v>
      </c>
      <c r="F14" s="15">
        <v>4.5</v>
      </c>
      <c r="G14" s="15">
        <f>250*0.2+229.7*0.36</f>
        <v>132.69200000000001</v>
      </c>
      <c r="H14" s="15">
        <f>0.4*0.2+6.7*0.36</f>
        <v>2.492</v>
      </c>
      <c r="I14" s="15">
        <f>0+1.1*0.36</f>
        <v>0.39600000000000002</v>
      </c>
      <c r="J14" s="16">
        <f>65*0.2+48.3*0.36</f>
        <v>30.387999999999998</v>
      </c>
    </row>
    <row r="15" spans="1:12" s="31" customFormat="1" ht="15.75" thickBot="1" x14ac:dyDescent="0.3">
      <c r="A15" s="88"/>
      <c r="B15" s="10" t="s">
        <v>18</v>
      </c>
      <c r="C15" s="11" t="s">
        <v>19</v>
      </c>
      <c r="D15" s="11" t="s">
        <v>20</v>
      </c>
      <c r="E15" s="18" t="s">
        <v>33</v>
      </c>
      <c r="F15" s="19">
        <v>2.5</v>
      </c>
      <c r="G15" s="19">
        <v>60</v>
      </c>
      <c r="H15" s="19">
        <v>7.0000000000000007E-2</v>
      </c>
      <c r="I15" s="19">
        <v>0.02</v>
      </c>
      <c r="J15" s="35">
        <v>15</v>
      </c>
    </row>
    <row r="16" spans="1:12" ht="16.5" thickBot="1" x14ac:dyDescent="0.3">
      <c r="A16" s="101" t="s">
        <v>15</v>
      </c>
      <c r="B16" s="84"/>
      <c r="C16" s="84"/>
      <c r="D16" s="84"/>
      <c r="E16" s="85"/>
      <c r="F16" s="20">
        <f>SUM(F14:F15)</f>
        <v>7</v>
      </c>
      <c r="G16" s="20">
        <f>SUM(G14:G15)</f>
        <v>192.69200000000001</v>
      </c>
      <c r="H16" s="20">
        <f t="shared" ref="H16:J16" si="0">SUM(H14:H15)</f>
        <v>2.5619999999999998</v>
      </c>
      <c r="I16" s="20">
        <f t="shared" si="0"/>
        <v>0.41600000000000004</v>
      </c>
      <c r="J16" s="20">
        <f t="shared" si="0"/>
        <v>45.387999999999998</v>
      </c>
    </row>
    <row r="17" spans="1:10" x14ac:dyDescent="0.25">
      <c r="A17" s="94" t="s">
        <v>37</v>
      </c>
      <c r="B17" s="21" t="s">
        <v>16</v>
      </c>
      <c r="C17" s="22" t="s">
        <v>39</v>
      </c>
      <c r="D17" s="22" t="s">
        <v>40</v>
      </c>
      <c r="E17" s="14" t="s">
        <v>41</v>
      </c>
      <c r="F17" s="15">
        <v>11.92</v>
      </c>
      <c r="G17" s="15">
        <f>429*0.25+162*0.1</f>
        <v>123.45</v>
      </c>
      <c r="H17" s="15">
        <f>8.07*0.25+2.6*0.1</f>
        <v>2.2774999999999999</v>
      </c>
      <c r="I17" s="15">
        <f>20.36*0.25+15*0.1</f>
        <v>6.59</v>
      </c>
      <c r="J17" s="16">
        <f>47.92*0.25+3.6*0.1</f>
        <v>12.34</v>
      </c>
    </row>
    <row r="18" spans="1:10" x14ac:dyDescent="0.25">
      <c r="A18" s="73"/>
      <c r="B18" s="8" t="s">
        <v>13</v>
      </c>
      <c r="C18" s="6" t="s">
        <v>42</v>
      </c>
      <c r="D18" s="6" t="s">
        <v>43</v>
      </c>
      <c r="E18" s="17">
        <v>30</v>
      </c>
      <c r="F18" s="7">
        <v>14.06</v>
      </c>
      <c r="G18" s="25">
        <f>182/50*30</f>
        <v>109.2</v>
      </c>
      <c r="H18" s="25">
        <f>6.74/50*30</f>
        <v>4.0440000000000005</v>
      </c>
      <c r="I18" s="25">
        <f>13.91/50*30</f>
        <v>8.3460000000000001</v>
      </c>
      <c r="J18" s="26">
        <f>7.09/50*30</f>
        <v>4.2540000000000004</v>
      </c>
    </row>
    <row r="19" spans="1:10" s="31" customFormat="1" x14ac:dyDescent="0.25">
      <c r="A19" s="73"/>
      <c r="B19" s="8" t="s">
        <v>17</v>
      </c>
      <c r="C19" s="6" t="s">
        <v>48</v>
      </c>
      <c r="D19" s="6" t="s">
        <v>49</v>
      </c>
      <c r="E19" s="17">
        <v>110</v>
      </c>
      <c r="F19" s="7">
        <v>13.43</v>
      </c>
      <c r="G19" s="58">
        <f>162.5*1.1</f>
        <v>178.75000000000003</v>
      </c>
      <c r="H19" s="58">
        <f>5.73*1.1</f>
        <v>6.3030000000000008</v>
      </c>
      <c r="I19" s="58">
        <f>4.06*1.1</f>
        <v>4.4660000000000002</v>
      </c>
      <c r="J19" s="59">
        <f>25.76*1.1</f>
        <v>28.336000000000006</v>
      </c>
    </row>
    <row r="20" spans="1:10" x14ac:dyDescent="0.25">
      <c r="A20" s="73"/>
      <c r="B20" s="8" t="s">
        <v>18</v>
      </c>
      <c r="C20" s="6" t="s">
        <v>70</v>
      </c>
      <c r="D20" s="6" t="s">
        <v>71</v>
      </c>
      <c r="E20" s="17" t="s">
        <v>72</v>
      </c>
      <c r="F20" s="7">
        <v>4.03</v>
      </c>
      <c r="G20" s="7">
        <v>62</v>
      </c>
      <c r="H20" s="7">
        <v>0.13</v>
      </c>
      <c r="I20" s="7">
        <v>0.02</v>
      </c>
      <c r="J20" s="9">
        <v>15.2</v>
      </c>
    </row>
    <row r="21" spans="1:10" ht="15.75" thickBot="1" x14ac:dyDescent="0.3">
      <c r="A21" s="73"/>
      <c r="B21" s="10" t="s">
        <v>14</v>
      </c>
      <c r="C21" s="11" t="s">
        <v>31</v>
      </c>
      <c r="D21" s="11" t="s">
        <v>32</v>
      </c>
      <c r="E21" s="18">
        <v>35</v>
      </c>
      <c r="F21" s="19">
        <v>1.56</v>
      </c>
      <c r="G21" s="19">
        <f>229.7*0.35</f>
        <v>80.394999999999996</v>
      </c>
      <c r="H21" s="12">
        <f>6.7*0.35</f>
        <v>2.3449999999999998</v>
      </c>
      <c r="I21" s="12">
        <f>1.1*0.35</f>
        <v>0.38500000000000001</v>
      </c>
      <c r="J21" s="13">
        <f>48.3*0.35</f>
        <v>16.904999999999998</v>
      </c>
    </row>
    <row r="22" spans="1:10" ht="16.5" thickBot="1" x14ac:dyDescent="0.3">
      <c r="A22" s="71" t="s">
        <v>15</v>
      </c>
      <c r="B22" s="74"/>
      <c r="C22" s="74"/>
      <c r="D22" s="74"/>
      <c r="E22" s="75"/>
      <c r="F22" s="23">
        <f>SUM(F17:F21)</f>
        <v>45</v>
      </c>
      <c r="G22" s="23">
        <f>SUM(G17:G21)</f>
        <v>553.79500000000007</v>
      </c>
      <c r="H22" s="23">
        <f>SUM(H17:H21)</f>
        <v>15.099500000000003</v>
      </c>
      <c r="I22" s="23">
        <f>SUM(I17:I21)</f>
        <v>19.807000000000002</v>
      </c>
      <c r="J22" s="23">
        <f>SUM(J17:J21)</f>
        <v>77.035000000000011</v>
      </c>
    </row>
    <row r="23" spans="1:10" s="40" customFormat="1" x14ac:dyDescent="0.25">
      <c r="A23" s="76" t="s">
        <v>38</v>
      </c>
      <c r="B23" s="21" t="s">
        <v>16</v>
      </c>
      <c r="C23" s="22" t="s">
        <v>39</v>
      </c>
      <c r="D23" s="22" t="s">
        <v>40</v>
      </c>
      <c r="E23" s="14" t="s">
        <v>41</v>
      </c>
      <c r="F23" s="15">
        <v>11.92</v>
      </c>
      <c r="G23" s="15">
        <f>429*0.25+162*0.1</f>
        <v>123.45</v>
      </c>
      <c r="H23" s="15">
        <f>8.07*0.25+2.6*0.1</f>
        <v>2.2774999999999999</v>
      </c>
      <c r="I23" s="15">
        <f>20.36*0.25+15*0.1</f>
        <v>6.59</v>
      </c>
      <c r="J23" s="16">
        <f>47.92*0.25+3.6*0.1</f>
        <v>12.34</v>
      </c>
    </row>
    <row r="24" spans="1:10" x14ac:dyDescent="0.25">
      <c r="A24" s="76"/>
      <c r="B24" s="8" t="s">
        <v>13</v>
      </c>
      <c r="C24" s="6" t="s">
        <v>42</v>
      </c>
      <c r="D24" s="6" t="s">
        <v>43</v>
      </c>
      <c r="E24" s="17">
        <v>50</v>
      </c>
      <c r="F24" s="7">
        <v>23.43</v>
      </c>
      <c r="G24" s="25">
        <f>182/50*50</f>
        <v>182</v>
      </c>
      <c r="H24" s="25">
        <f>6.74/50*50</f>
        <v>6.74</v>
      </c>
      <c r="I24" s="25">
        <f>13.91/50*50</f>
        <v>13.91</v>
      </c>
      <c r="J24" s="26">
        <f>7.09/50*50</f>
        <v>7.0900000000000007</v>
      </c>
    </row>
    <row r="25" spans="1:10" x14ac:dyDescent="0.25">
      <c r="A25" s="76"/>
      <c r="B25" s="8" t="s">
        <v>17</v>
      </c>
      <c r="C25" s="6" t="s">
        <v>48</v>
      </c>
      <c r="D25" s="6" t="s">
        <v>49</v>
      </c>
      <c r="E25" s="17">
        <v>100</v>
      </c>
      <c r="F25" s="7">
        <v>12.21</v>
      </c>
      <c r="G25" s="58">
        <v>162.5</v>
      </c>
      <c r="H25" s="58">
        <v>5.73</v>
      </c>
      <c r="I25" s="58">
        <v>4.0599999999999996</v>
      </c>
      <c r="J25" s="59">
        <v>25.76</v>
      </c>
    </row>
    <row r="26" spans="1:10" s="64" customFormat="1" x14ac:dyDescent="0.25">
      <c r="A26" s="76"/>
      <c r="B26" s="8" t="s">
        <v>18</v>
      </c>
      <c r="C26" s="6" t="s">
        <v>70</v>
      </c>
      <c r="D26" s="6" t="s">
        <v>71</v>
      </c>
      <c r="E26" s="17" t="s">
        <v>72</v>
      </c>
      <c r="F26" s="7">
        <v>4.03</v>
      </c>
      <c r="G26" s="7">
        <v>62</v>
      </c>
      <c r="H26" s="7">
        <v>0.13</v>
      </c>
      <c r="I26" s="7">
        <v>0.02</v>
      </c>
      <c r="J26" s="9">
        <v>15.2</v>
      </c>
    </row>
    <row r="27" spans="1:10" s="39" customFormat="1" ht="30" x14ac:dyDescent="0.25">
      <c r="A27" s="76"/>
      <c r="B27" s="8" t="s">
        <v>21</v>
      </c>
      <c r="C27" s="52" t="s">
        <v>74</v>
      </c>
      <c r="D27" s="6" t="s">
        <v>75</v>
      </c>
      <c r="E27" s="17">
        <v>75</v>
      </c>
      <c r="F27" s="7">
        <v>16</v>
      </c>
      <c r="G27" s="53">
        <f>202</f>
        <v>202</v>
      </c>
      <c r="H27" s="53">
        <f>9.22</f>
        <v>9.2200000000000006</v>
      </c>
      <c r="I27" s="53">
        <f>5.48</f>
        <v>5.48</v>
      </c>
      <c r="J27" s="54">
        <f>29.18</f>
        <v>29.18</v>
      </c>
    </row>
    <row r="28" spans="1:10" ht="15.75" thickBot="1" x14ac:dyDescent="0.3">
      <c r="A28" s="76"/>
      <c r="B28" s="10" t="s">
        <v>14</v>
      </c>
      <c r="C28" s="11" t="s">
        <v>31</v>
      </c>
      <c r="D28" s="11" t="s">
        <v>32</v>
      </c>
      <c r="E28" s="18">
        <v>43</v>
      </c>
      <c r="F28" s="19">
        <v>1.91</v>
      </c>
      <c r="G28" s="19">
        <f>229.7*0.43</f>
        <v>98.770999999999987</v>
      </c>
      <c r="H28" s="12">
        <f>6.7*0.43</f>
        <v>2.8810000000000002</v>
      </c>
      <c r="I28" s="12">
        <f>1.1*0.43</f>
        <v>0.47300000000000003</v>
      </c>
      <c r="J28" s="13">
        <f>48.3*0.43</f>
        <v>20.768999999999998</v>
      </c>
    </row>
    <row r="29" spans="1:10" ht="16.5" thickBot="1" x14ac:dyDescent="0.3">
      <c r="A29" s="71" t="s">
        <v>15</v>
      </c>
      <c r="B29" s="74"/>
      <c r="C29" s="74"/>
      <c r="D29" s="74"/>
      <c r="E29" s="75"/>
      <c r="F29" s="23">
        <f>SUM(F23:F28)</f>
        <v>69.5</v>
      </c>
      <c r="G29" s="23">
        <f>SUM(G23:G28)</f>
        <v>830.721</v>
      </c>
      <c r="H29" s="23">
        <f>SUM(H23:H28)</f>
        <v>26.978500000000004</v>
      </c>
      <c r="I29" s="23">
        <f>SUM(I23:I28)</f>
        <v>30.532999999999998</v>
      </c>
      <c r="J29" s="23">
        <f>SUM(J23:J28)</f>
        <v>110.339</v>
      </c>
    </row>
    <row r="31" spans="1:10" ht="15.75" thickBot="1" x14ac:dyDescent="0.3">
      <c r="A31" s="66" t="s">
        <v>25</v>
      </c>
      <c r="B31" s="66"/>
      <c r="C31" s="66"/>
      <c r="D31" s="66"/>
      <c r="E31" s="66"/>
      <c r="F31" s="66"/>
      <c r="G31" s="66"/>
      <c r="H31" s="66"/>
      <c r="I31" s="66"/>
      <c r="J31" s="66"/>
    </row>
    <row r="32" spans="1:10" ht="15.75" x14ac:dyDescent="0.25">
      <c r="A32" s="24"/>
      <c r="B32" s="24"/>
      <c r="C32" s="67" t="s">
        <v>23</v>
      </c>
      <c r="D32" s="67"/>
      <c r="G32" s="68"/>
      <c r="H32" s="68"/>
      <c r="I32" s="68"/>
      <c r="J32" s="68"/>
    </row>
    <row r="33" spans="1:4" x14ac:dyDescent="0.25">
      <c r="A33" s="1"/>
      <c r="B33" s="1"/>
      <c r="C33" s="1"/>
      <c r="D33" s="1"/>
    </row>
    <row r="34" spans="1:4" x14ac:dyDescent="0.25">
      <c r="A34" s="69" t="s">
        <v>24</v>
      </c>
      <c r="B34" s="69"/>
    </row>
    <row r="35" spans="1:4" x14ac:dyDescent="0.25">
      <c r="A35" s="69" t="s">
        <v>26</v>
      </c>
      <c r="B35" s="69"/>
    </row>
    <row r="36" spans="1:4" x14ac:dyDescent="0.25">
      <c r="A36" s="4"/>
    </row>
  </sheetData>
  <mergeCells count="17">
    <mergeCell ref="A34:B34"/>
    <mergeCell ref="A35:B35"/>
    <mergeCell ref="A10:A12"/>
    <mergeCell ref="A13:E13"/>
    <mergeCell ref="A14:A15"/>
    <mergeCell ref="A16:E16"/>
    <mergeCell ref="A23:A28"/>
    <mergeCell ref="A29:E29"/>
    <mergeCell ref="A31:J31"/>
    <mergeCell ref="C32:D32"/>
    <mergeCell ref="G32:J32"/>
    <mergeCell ref="A22:E22"/>
    <mergeCell ref="B1:C1"/>
    <mergeCell ref="G1:J1"/>
    <mergeCell ref="A3:A8"/>
    <mergeCell ref="A9:E9"/>
    <mergeCell ref="A17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07.09 1-4 кл</vt:lpstr>
      <vt:lpstr>07.09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2022-09-06T13:59:49Z</dcterms:modified>
</cp:coreProperties>
</file>