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1-4 кл" sheetId="1" r:id="rId1"/>
    <sheet name="5-11 кл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2" l="1"/>
  <c r="I29" i="2"/>
  <c r="H29" i="2"/>
  <c r="G29" i="2"/>
  <c r="J26" i="2"/>
  <c r="I26" i="2"/>
  <c r="H26" i="2"/>
  <c r="G26" i="2"/>
  <c r="J28" i="2"/>
  <c r="I28" i="2"/>
  <c r="H28" i="2"/>
  <c r="G28" i="2"/>
  <c r="J25" i="2"/>
  <c r="I25" i="2"/>
  <c r="H25" i="2"/>
  <c r="G25" i="2"/>
  <c r="J24" i="2"/>
  <c r="I24" i="2"/>
  <c r="H24" i="2"/>
  <c r="G24" i="2"/>
  <c r="J23" i="2"/>
  <c r="I23" i="2"/>
  <c r="H23" i="2"/>
  <c r="G23" i="2"/>
  <c r="J21" i="2"/>
  <c r="I21" i="2"/>
  <c r="H21" i="2"/>
  <c r="G21" i="2"/>
  <c r="J19" i="2"/>
  <c r="I19" i="2"/>
  <c r="H19" i="2"/>
  <c r="G19" i="2"/>
  <c r="J18" i="2"/>
  <c r="I18" i="2"/>
  <c r="H18" i="2"/>
  <c r="G18" i="2"/>
  <c r="J17" i="2"/>
  <c r="I17" i="2"/>
  <c r="H17" i="2"/>
  <c r="G17" i="2"/>
  <c r="J12" i="2"/>
  <c r="I12" i="2"/>
  <c r="H12" i="2"/>
  <c r="G12" i="2"/>
  <c r="J10" i="2"/>
  <c r="I10" i="2"/>
  <c r="H10" i="2"/>
  <c r="G10" i="2"/>
  <c r="J8" i="2" l="1"/>
  <c r="I8" i="2"/>
  <c r="H8" i="2"/>
  <c r="G8" i="2"/>
  <c r="J4" i="2"/>
  <c r="I4" i="2"/>
  <c r="H4" i="2"/>
  <c r="G4" i="2"/>
  <c r="J5" i="2"/>
  <c r="I5" i="2"/>
  <c r="H5" i="2"/>
  <c r="G5" i="2"/>
  <c r="J3" i="2"/>
  <c r="I3" i="2"/>
  <c r="H3" i="2"/>
  <c r="G3" i="2"/>
  <c r="G23" i="1"/>
  <c r="H23" i="1"/>
  <c r="I23" i="1"/>
  <c r="J23" i="1"/>
  <c r="F23" i="1"/>
  <c r="J21" i="1" l="1"/>
  <c r="I21" i="1"/>
  <c r="H21" i="1"/>
  <c r="G21" i="1"/>
  <c r="J22" i="1"/>
  <c r="I22" i="1"/>
  <c r="H22" i="1"/>
  <c r="G22" i="1"/>
  <c r="J26" i="1"/>
  <c r="I26" i="1"/>
  <c r="H26" i="1"/>
  <c r="G26" i="1"/>
  <c r="J25" i="1"/>
  <c r="I25" i="1"/>
  <c r="H25" i="1"/>
  <c r="G25" i="1"/>
  <c r="J18" i="1"/>
  <c r="I18" i="1"/>
  <c r="H18" i="1"/>
  <c r="G18" i="1"/>
  <c r="J16" i="1"/>
  <c r="I16" i="1"/>
  <c r="H16" i="1"/>
  <c r="G16" i="1"/>
  <c r="J15" i="2" l="1"/>
  <c r="I15" i="2"/>
  <c r="H15" i="2"/>
  <c r="G15" i="2"/>
  <c r="J19" i="1"/>
  <c r="I19" i="1"/>
  <c r="H19" i="1"/>
  <c r="G19" i="1"/>
  <c r="J17" i="1"/>
  <c r="I17" i="1"/>
  <c r="H17" i="1"/>
  <c r="G17" i="1"/>
  <c r="G15" i="1"/>
  <c r="H15" i="1"/>
  <c r="I15" i="1"/>
  <c r="J15" i="1"/>
  <c r="F15" i="1"/>
  <c r="J11" i="1"/>
  <c r="I11" i="1"/>
  <c r="G11" i="1"/>
  <c r="H11" i="1"/>
  <c r="J12" i="1"/>
  <c r="I12" i="1"/>
  <c r="H12" i="1"/>
  <c r="G12" i="1"/>
  <c r="J10" i="1" l="1"/>
  <c r="I10" i="1"/>
  <c r="H10" i="1"/>
  <c r="G10" i="1"/>
  <c r="J8" i="1"/>
  <c r="I8" i="1"/>
  <c r="H8" i="1"/>
  <c r="G8" i="1"/>
  <c r="J5" i="1" l="1"/>
  <c r="I5" i="1"/>
  <c r="H5" i="1"/>
  <c r="G5" i="1"/>
  <c r="J4" i="1"/>
  <c r="I4" i="1"/>
  <c r="H4" i="1"/>
  <c r="G4" i="1"/>
  <c r="I3" i="1"/>
  <c r="H3" i="1"/>
  <c r="G3" i="1"/>
  <c r="J14" i="1" l="1"/>
  <c r="I14" i="1"/>
  <c r="H14" i="1"/>
  <c r="G14" i="1"/>
  <c r="J3" i="1"/>
  <c r="G30" i="2" l="1"/>
  <c r="H30" i="2"/>
  <c r="I30" i="2"/>
  <c r="J30" i="2"/>
  <c r="F30" i="2"/>
  <c r="J7" i="2" l="1"/>
  <c r="I7" i="2"/>
  <c r="H7" i="2"/>
  <c r="G7" i="2"/>
  <c r="F27" i="1" l="1"/>
  <c r="G27" i="1" l="1"/>
  <c r="I27" i="1"/>
  <c r="H27" i="1"/>
  <c r="J27" i="1"/>
  <c r="F13" i="2" l="1"/>
  <c r="J13" i="2"/>
  <c r="I13" i="2"/>
  <c r="H13" i="2"/>
  <c r="G13" i="2"/>
  <c r="F16" i="2"/>
  <c r="J16" i="2"/>
  <c r="I16" i="2"/>
  <c r="H16" i="2"/>
  <c r="G16" i="2"/>
  <c r="F9" i="1"/>
  <c r="F22" i="2" l="1"/>
  <c r="G9" i="2"/>
  <c r="H9" i="2"/>
  <c r="I9" i="2"/>
  <c r="J9" i="2"/>
  <c r="F9" i="2"/>
  <c r="J22" i="2" l="1"/>
  <c r="I22" i="2"/>
  <c r="H22" i="2"/>
  <c r="G22" i="2"/>
  <c r="G9" i="1" l="1"/>
  <c r="I9" i="1"/>
  <c r="H9" i="1"/>
  <c r="J9" i="1" l="1"/>
</calcChain>
</file>

<file path=xl/sharedStrings.xml><?xml version="1.0" encoding="utf-8"?>
<sst xmlns="http://schemas.openxmlformats.org/spreadsheetml/2006/main" count="199" uniqueCount="80">
  <si>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</si>
  <si>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</si>
  <si>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</si>
  <si>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</si>
  <si>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</si>
  <si>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</si>
  <si>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</si>
  <si>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</si>
  <si>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</si>
  <si>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</si>
  <si>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</si>
  <si>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</si>
  <si>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</si>
  <si>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</si>
  <si>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</si>
  <si>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</si>
  <si>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</si>
  <si>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</si>
  <si>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</si>
  <si>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</si>
  <si>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</si>
  <si>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</si>
  <si>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Фрукт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</si>
  <si>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</si>
  <si>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</si>
  <si>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</si>
  <si>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</si>
  <si>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</si>
  <si>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</si>
  <si>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</si>
  <si>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</si>
  <si>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</si>
  <si>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</si>
  <si>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№210-2015г.</t>
  </si>
  <si>
    <t>№15-2015г.</t>
  </si>
  <si>
    <t>Сыр "Российский" (порциями)</t>
  </si>
  <si>
    <t>ТТК№5</t>
  </si>
  <si>
    <t>Батон "Домашний"</t>
  </si>
  <si>
    <t>200/15</t>
  </si>
  <si>
    <t>№338-2015г.</t>
  </si>
  <si>
    <t>Завтрак 5-11 кл с доплатой 62,50 руб. и льготники с доплатой 42,50 руб. 1 смена</t>
  </si>
  <si>
    <t>Завтрак льготный 5-11 кл</t>
  </si>
  <si>
    <t xml:space="preserve">Обед дети-инвалиды 5-11 кл 2 смена </t>
  </si>
  <si>
    <t>Завтрак бюджетный 1-я смена и полдник для детей-инвалидов 2-я смена 5-11 кл</t>
  </si>
  <si>
    <t>Обед 6-7 кл.</t>
  </si>
  <si>
    <t>ТТК №6</t>
  </si>
  <si>
    <t>Булочка "Рулетик с маком"</t>
  </si>
  <si>
    <t>250/2</t>
  </si>
  <si>
    <t>№48-2015г.</t>
  </si>
  <si>
    <t>Салат "Витаминный"</t>
  </si>
  <si>
    <t>Омлет натуральный с маслом</t>
  </si>
  <si>
    <t>105/8</t>
  </si>
  <si>
    <t>Напиток</t>
  </si>
  <si>
    <t>ПР</t>
  </si>
  <si>
    <t>Молочный коктейль "Авишка" 2,5%</t>
  </si>
  <si>
    <t>200</t>
  </si>
  <si>
    <t>№425-2015г.</t>
  </si>
  <si>
    <t>Булочка дорожная</t>
  </si>
  <si>
    <t>№101-2015г.</t>
  </si>
  <si>
    <t>Суп картофельный с рисом с зеленью</t>
  </si>
  <si>
    <t>№302-2015г.</t>
  </si>
  <si>
    <t>Каша рассыпчатая гречневая</t>
  </si>
  <si>
    <t>№268-2015г.</t>
  </si>
  <si>
    <t>Котлета из свинины</t>
  </si>
  <si>
    <t>Кондитерское изделие</t>
  </si>
  <si>
    <t>Печенье "Весёлая ярмарка"</t>
  </si>
  <si>
    <t>№389-2015г.</t>
  </si>
  <si>
    <t>Сок фруктовый</t>
  </si>
  <si>
    <t>Пряник сливочный</t>
  </si>
  <si>
    <t>№71-2015г.</t>
  </si>
  <si>
    <t>Овощи натуральные свежие (помидоры)</t>
  </si>
  <si>
    <t>Яблоко свежее (порция)</t>
  </si>
  <si>
    <t>Фрукт свежий (груша)</t>
  </si>
  <si>
    <t>Напиток (сладкое блюдо)</t>
  </si>
  <si>
    <t>№349-2015г.</t>
  </si>
  <si>
    <t>Компот из смеси сухофруктов</t>
  </si>
  <si>
    <t>№686-2004г.</t>
  </si>
  <si>
    <t>Чай с лимоном</t>
  </si>
  <si>
    <t>200/15/7</t>
  </si>
  <si>
    <t>105/3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</si>
</sst>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/>
    <xf numFmtId="2" fontId="3" fillId="0" borderId="2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vertical="center" wrapText="1"/>
    </xf>
    <xf numFmtId="2" fontId="2" fillId="0" borderId="4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2" fontId="2" fillId="0" borderId="15" xfId="0" applyNumberFormat="1" applyFont="1" applyBorder="1" applyAlignment="1">
      <alignment vertical="center" wrapText="1"/>
    </xf>
    <xf numFmtId="2" fontId="2" fillId="0" borderId="16" xfId="0" applyNumberFormat="1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3" fillId="0" borderId="7" xfId="0" applyNumberFormat="1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2" fontId="2" fillId="0" borderId="16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2" xfId="0" applyFont="1" applyBorder="1" applyAlignment="1">
      <alignment horizontal="right" vertical="center" wrapText="1"/>
    </xf>
    <xf numFmtId="2" fontId="2" fillId="0" borderId="22" xfId="0" applyNumberFormat="1" applyFont="1" applyBorder="1" applyAlignment="1">
      <alignment horizontal="right" vertical="center" wrapText="1"/>
    </xf>
    <xf numFmtId="2" fontId="2" fillId="0" borderId="22" xfId="0" applyNumberFormat="1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/>
    <xf numFmtId="0" fontId="2" fillId="0" borderId="28" xfId="0" applyFont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0" xfId="0" applyFont="1"/>
    <xf numFmtId="0" fontId="2" fillId="0" borderId="0" xfId="0" applyFont="1"/>
    <xf numFmtId="0" fontId="2" fillId="0" borderId="0" xfId="0" applyFont="1"/>
    <xf numFmtId="2" fontId="3" fillId="0" borderId="34" xfId="0" applyNumberFormat="1" applyFont="1" applyBorder="1" applyAlignment="1">
      <alignment vertical="center" wrapText="1"/>
    </xf>
    <xf numFmtId="0" fontId="2" fillId="0" borderId="0" xfId="0" applyFont="1"/>
    <xf numFmtId="2" fontId="3" fillId="0" borderId="36" xfId="0" applyNumberFormat="1" applyFont="1" applyBorder="1" applyAlignment="1">
      <alignment vertical="center" wrapText="1"/>
    </xf>
    <xf numFmtId="0" fontId="2" fillId="0" borderId="0" xfId="0" applyFont="1"/>
    <xf numFmtId="0" fontId="4" fillId="0" borderId="0" xfId="0" applyFont="1" applyAlignment="1">
      <alignment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4" fontId="5" fillId="0" borderId="24" xfId="0" applyNumberFormat="1" applyFont="1" applyBorder="1" applyAlignment="1">
      <alignment horizontal="center" vertical="center" wrapText="1"/>
    </xf>
    <xf numFmtId="14" fontId="5" fillId="0" borderId="25" xfId="0" applyNumberFormat="1" applyFont="1" applyBorder="1" applyAlignment="1">
      <alignment horizontal="center" vertical="center" wrapText="1"/>
    </xf>
    <xf numFmtId="14" fontId="5" fillId="0" borderId="27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24" xfId="0" applyFont="1" applyBorder="1" applyAlignment="1">
      <alignment horizontal="right" vertical="center" wrapText="1"/>
    </xf>
    <xf numFmtId="0" fontId="3" fillId="0" borderId="33" xfId="0" applyFont="1" applyBorder="1" applyAlignment="1">
      <alignment horizontal="right" vertical="center" wrapText="1"/>
    </xf>
    <xf numFmtId="0" fontId="3" fillId="0" borderId="34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36" xfId="0" applyFont="1" applyBorder="1" applyAlignment="1">
      <alignment horizontal="right" vertical="center" wrapText="1"/>
    </xf>
    <xf numFmtId="2" fontId="6" fillId="0" borderId="4" xfId="0" applyNumberFormat="1" applyFont="1" applyBorder="1" applyAlignment="1">
      <alignment horizontal="right" vertical="center" wrapText="1"/>
    </xf>
    <xf numFmtId="2" fontId="6" fillId="0" borderId="13" xfId="0" applyNumberFormat="1" applyFont="1" applyBorder="1" applyAlignment="1">
      <alignment horizontal="righ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0" fontId="2" fillId="0" borderId="4" xfId="0" applyNumberFormat="1" applyFont="1" applyBorder="1" applyAlignment="1">
      <alignment horizontal="right" vertical="center" wrapText="1"/>
    </xf>
    <xf numFmtId="0" fontId="7" fillId="0" borderId="9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B16" sqref="B16:J20"/>
    </sheetView>
  </sheetViews>
  <sheetFormatPr defaultRowHeight="15" x14ac:dyDescent="0.25"/>
  <cols>
    <col min="1" max="1" width="19.5703125" style="2" customWidth="1"/>
    <col min="2" max="2" width="24.7109375" style="2" customWidth="1"/>
    <col min="3" max="3" width="12.28515625" style="2" customWidth="1"/>
    <col min="4" max="4" width="48" style="2" customWidth="1"/>
    <col min="5" max="5" width="10.140625" style="2" bestFit="1" customWidth="1"/>
    <col min="6" max="6" width="8.140625" style="2" customWidth="1"/>
    <col min="7" max="7" width="14" style="2" customWidth="1"/>
    <col min="8" max="9" width="8.85546875" style="2" customWidth="1"/>
    <col min="10" max="10" width="10.85546875" style="2" customWidth="1"/>
    <col min="11" max="16384" width="9.140625" style="2"/>
  </cols>
  <sheetData>
    <row r="1" spans="1:12" ht="15.75" thickBot="1" x14ac:dyDescent="0.3">
      <c r="A1" s="38" t="s">
        <v>0</v>
      </c>
      <c r="B1" s="56" t="s">
        <v>23</v>
      </c>
      <c r="C1" s="57"/>
      <c r="D1" s="1" t="s">
        <v>1</v>
      </c>
      <c r="E1" s="41"/>
      <c r="F1" s="1" t="s">
        <v>2</v>
      </c>
      <c r="G1" s="58">
        <v>44816</v>
      </c>
      <c r="H1" s="59"/>
      <c r="I1" s="59"/>
      <c r="J1" s="60"/>
      <c r="K1" s="1"/>
      <c r="L1" s="1"/>
    </row>
    <row r="2" spans="1:12" ht="15.75" thickBot="1" x14ac:dyDescent="0.3">
      <c r="A2" s="39" t="s">
        <v>3</v>
      </c>
      <c r="B2" s="5" t="s">
        <v>4</v>
      </c>
      <c r="C2" s="40" t="s">
        <v>5</v>
      </c>
      <c r="D2" s="83" t="s">
        <v>6</v>
      </c>
      <c r="E2" s="83" t="s">
        <v>7</v>
      </c>
      <c r="F2" s="83" t="s">
        <v>8</v>
      </c>
      <c r="G2" s="5" t="s">
        <v>9</v>
      </c>
      <c r="H2" s="5" t="s">
        <v>10</v>
      </c>
      <c r="I2" s="5" t="s">
        <v>11</v>
      </c>
      <c r="J2" s="35" t="s">
        <v>12</v>
      </c>
    </row>
    <row r="3" spans="1:12" x14ac:dyDescent="0.25">
      <c r="A3" s="80" t="s">
        <v>28</v>
      </c>
      <c r="B3" s="16" t="s">
        <v>32</v>
      </c>
      <c r="C3" s="17" t="s">
        <v>34</v>
      </c>
      <c r="D3" s="17" t="s">
        <v>35</v>
      </c>
      <c r="E3" s="18">
        <v>20</v>
      </c>
      <c r="F3" s="18">
        <v>20.79</v>
      </c>
      <c r="G3" s="19">
        <f>3.64*20</f>
        <v>72.8</v>
      </c>
      <c r="H3" s="19">
        <f>23.2*0.2</f>
        <v>4.6399999999999997</v>
      </c>
      <c r="I3" s="19">
        <f>29.5*0.2</f>
        <v>5.9</v>
      </c>
      <c r="J3" s="20">
        <f>0</f>
        <v>0</v>
      </c>
    </row>
    <row r="4" spans="1:12" x14ac:dyDescent="0.25">
      <c r="A4" s="81"/>
      <c r="B4" s="9" t="s">
        <v>32</v>
      </c>
      <c r="C4" s="6" t="s">
        <v>48</v>
      </c>
      <c r="D4" s="6" t="s">
        <v>49</v>
      </c>
      <c r="E4" s="21">
        <v>50</v>
      </c>
      <c r="F4" s="8">
        <v>6.37</v>
      </c>
      <c r="G4" s="8">
        <f>794*0.05</f>
        <v>39.700000000000003</v>
      </c>
      <c r="H4" s="8">
        <f>8.3*0.05</f>
        <v>0.41500000000000004</v>
      </c>
      <c r="I4" s="8">
        <f>61.08*0.05</f>
        <v>3.0540000000000003</v>
      </c>
      <c r="J4" s="10">
        <f>52.73*0.05</f>
        <v>2.6364999999999998</v>
      </c>
    </row>
    <row r="5" spans="1:12" x14ac:dyDescent="0.25">
      <c r="A5" s="81"/>
      <c r="B5" s="9" t="s">
        <v>13</v>
      </c>
      <c r="C5" s="6" t="s">
        <v>33</v>
      </c>
      <c r="D5" s="6" t="s">
        <v>50</v>
      </c>
      <c r="E5" s="21" t="s">
        <v>51</v>
      </c>
      <c r="F5" s="8">
        <v>27.55</v>
      </c>
      <c r="G5" s="8">
        <f>79*2+66*0.8</f>
        <v>210.8</v>
      </c>
      <c r="H5" s="8">
        <f>5.32*2+0.08*0.8</f>
        <v>10.704000000000001</v>
      </c>
      <c r="I5" s="8">
        <f>5.97*2+7.25*0.8</f>
        <v>17.740000000000002</v>
      </c>
      <c r="J5" s="10">
        <f>0.95*2+0.13*0.8</f>
        <v>2.004</v>
      </c>
    </row>
    <row r="6" spans="1:12" x14ac:dyDescent="0.25">
      <c r="A6" s="81"/>
      <c r="B6" s="9" t="s">
        <v>52</v>
      </c>
      <c r="C6" s="6" t="s">
        <v>53</v>
      </c>
      <c r="D6" s="6" t="s">
        <v>54</v>
      </c>
      <c r="E6" s="84" t="s">
        <v>55</v>
      </c>
      <c r="F6" s="7">
        <v>37.24</v>
      </c>
      <c r="G6" s="85">
        <v>160</v>
      </c>
      <c r="H6" s="85">
        <v>5</v>
      </c>
      <c r="I6" s="85">
        <v>6.2</v>
      </c>
      <c r="J6" s="86">
        <v>22</v>
      </c>
    </row>
    <row r="7" spans="1:12" x14ac:dyDescent="0.25">
      <c r="A7" s="81"/>
      <c r="B7" s="9" t="s">
        <v>21</v>
      </c>
      <c r="C7" s="6" t="s">
        <v>56</v>
      </c>
      <c r="D7" s="6" t="s">
        <v>57</v>
      </c>
      <c r="E7" s="21">
        <v>50</v>
      </c>
      <c r="F7" s="8">
        <v>3.98</v>
      </c>
      <c r="G7" s="8">
        <v>160.5</v>
      </c>
      <c r="H7" s="78">
        <v>3.39</v>
      </c>
      <c r="I7" s="78">
        <v>6.98</v>
      </c>
      <c r="J7" s="79">
        <v>21.07</v>
      </c>
    </row>
    <row r="8" spans="1:12" ht="15.75" thickBot="1" x14ac:dyDescent="0.3">
      <c r="A8" s="82"/>
      <c r="B8" s="12" t="s">
        <v>14</v>
      </c>
      <c r="C8" s="13" t="s">
        <v>36</v>
      </c>
      <c r="D8" s="13" t="s">
        <v>37</v>
      </c>
      <c r="E8" s="22">
        <v>27.5</v>
      </c>
      <c r="F8" s="23">
        <v>1.22</v>
      </c>
      <c r="G8" s="23">
        <f>229.7*0.275</f>
        <v>63.167500000000004</v>
      </c>
      <c r="H8" s="14">
        <f>6.7*0.275</f>
        <v>1.8425000000000002</v>
      </c>
      <c r="I8" s="14">
        <f>1.1*0.275</f>
        <v>0.30250000000000005</v>
      </c>
      <c r="J8" s="15">
        <f>48.3*0.275</f>
        <v>13.282500000000001</v>
      </c>
    </row>
    <row r="9" spans="1:12" ht="16.5" thickBot="1" x14ac:dyDescent="0.3">
      <c r="A9" s="53" t="s">
        <v>15</v>
      </c>
      <c r="B9" s="64"/>
      <c r="C9" s="64"/>
      <c r="D9" s="64"/>
      <c r="E9" s="65"/>
      <c r="F9" s="24">
        <f>SUM(F3:F8)</f>
        <v>97.15</v>
      </c>
      <c r="G9" s="24">
        <f t="shared" ref="G9:J9" si="0">SUM(G3:G8)</f>
        <v>706.96749999999997</v>
      </c>
      <c r="H9" s="24">
        <f t="shared" si="0"/>
        <v>25.991500000000002</v>
      </c>
      <c r="I9" s="24">
        <f t="shared" si="0"/>
        <v>40.176500000000011</v>
      </c>
      <c r="J9" s="24">
        <f t="shared" si="0"/>
        <v>60.992999999999995</v>
      </c>
    </row>
    <row r="10" spans="1:12" x14ac:dyDescent="0.25">
      <c r="A10" s="66" t="s">
        <v>29</v>
      </c>
      <c r="B10" s="25" t="s">
        <v>16</v>
      </c>
      <c r="C10" s="26" t="s">
        <v>58</v>
      </c>
      <c r="D10" s="26" t="s">
        <v>59</v>
      </c>
      <c r="E10" s="18" t="s">
        <v>47</v>
      </c>
      <c r="F10" s="19">
        <v>6.5</v>
      </c>
      <c r="G10" s="19">
        <f>343*0.25</f>
        <v>85.75</v>
      </c>
      <c r="H10" s="19">
        <f>7.89*0.25</f>
        <v>1.9724999999999999</v>
      </c>
      <c r="I10" s="19">
        <f>10.85*0.25</f>
        <v>2.7124999999999999</v>
      </c>
      <c r="J10" s="20">
        <f>48.45*0.25</f>
        <v>12.112500000000001</v>
      </c>
    </row>
    <row r="11" spans="1:12" x14ac:dyDescent="0.25">
      <c r="A11" s="67"/>
      <c r="B11" s="9" t="s">
        <v>13</v>
      </c>
      <c r="C11" s="6" t="s">
        <v>62</v>
      </c>
      <c r="D11" s="6" t="s">
        <v>63</v>
      </c>
      <c r="E11" s="21">
        <v>37.5</v>
      </c>
      <c r="F11" s="8">
        <v>17.91</v>
      </c>
      <c r="G11" s="78">
        <f>182/50*37.5</f>
        <v>136.5</v>
      </c>
      <c r="H11" s="78">
        <f>6.74/50*37.5</f>
        <v>5.0549999999999997</v>
      </c>
      <c r="I11" s="78">
        <f>13.91/50*37.5</f>
        <v>10.432500000000001</v>
      </c>
      <c r="J11" s="79">
        <f>7.09/50*37.5</f>
        <v>5.3175000000000008</v>
      </c>
    </row>
    <row r="12" spans="1:12" x14ac:dyDescent="0.25">
      <c r="A12" s="67"/>
      <c r="B12" s="9" t="s">
        <v>17</v>
      </c>
      <c r="C12" s="6" t="s">
        <v>60</v>
      </c>
      <c r="D12" s="6" t="s">
        <v>61</v>
      </c>
      <c r="E12" s="21">
        <v>120</v>
      </c>
      <c r="F12" s="8">
        <v>14.65</v>
      </c>
      <c r="G12" s="87">
        <f>1625*0.12</f>
        <v>195</v>
      </c>
      <c r="H12" s="87">
        <f>57.32*0.12</f>
        <v>6.8784000000000001</v>
      </c>
      <c r="I12" s="87">
        <f>40.62*0.12</f>
        <v>4.8743999999999996</v>
      </c>
      <c r="J12" s="88">
        <f>257.61*0.12</f>
        <v>30.9132</v>
      </c>
    </row>
    <row r="13" spans="1:12" x14ac:dyDescent="0.25">
      <c r="A13" s="67"/>
      <c r="B13" s="9" t="s">
        <v>18</v>
      </c>
      <c r="C13" s="6" t="s">
        <v>19</v>
      </c>
      <c r="D13" s="6" t="s">
        <v>20</v>
      </c>
      <c r="E13" s="21" t="s">
        <v>38</v>
      </c>
      <c r="F13" s="8">
        <v>2.5</v>
      </c>
      <c r="G13" s="8">
        <v>60</v>
      </c>
      <c r="H13" s="8">
        <v>7.0000000000000007E-2</v>
      </c>
      <c r="I13" s="8">
        <v>0.02</v>
      </c>
      <c r="J13" s="10">
        <v>15</v>
      </c>
    </row>
    <row r="14" spans="1:12" ht="15.75" thickBot="1" x14ac:dyDescent="0.3">
      <c r="A14" s="67"/>
      <c r="B14" s="28" t="s">
        <v>14</v>
      </c>
      <c r="C14" s="29" t="s">
        <v>36</v>
      </c>
      <c r="D14" s="29" t="s">
        <v>37</v>
      </c>
      <c r="E14" s="30">
        <v>16.5</v>
      </c>
      <c r="F14" s="31">
        <v>0.73</v>
      </c>
      <c r="G14" s="31">
        <f>229.7*0.165</f>
        <v>37.900500000000001</v>
      </c>
      <c r="H14" s="32">
        <f>6.7*0.165</f>
        <v>1.1055000000000001</v>
      </c>
      <c r="I14" s="32">
        <f>1.1*0.165</f>
        <v>0.18150000000000002</v>
      </c>
      <c r="J14" s="33">
        <f>48.3*0.165</f>
        <v>7.9695</v>
      </c>
    </row>
    <row r="15" spans="1:12" ht="16.5" thickBot="1" x14ac:dyDescent="0.3">
      <c r="A15" s="68" t="s">
        <v>15</v>
      </c>
      <c r="B15" s="69"/>
      <c r="C15" s="69"/>
      <c r="D15" s="69"/>
      <c r="E15" s="70"/>
      <c r="F15" s="45">
        <f>SUM(F10:F14)</f>
        <v>42.29</v>
      </c>
      <c r="G15" s="45">
        <f t="shared" ref="G15:J15" si="1">SUM(G10:G14)</f>
        <v>515.15049999999997</v>
      </c>
      <c r="H15" s="45">
        <f t="shared" si="1"/>
        <v>15.081399999999999</v>
      </c>
      <c r="I15" s="45">
        <f t="shared" si="1"/>
        <v>18.2209</v>
      </c>
      <c r="J15" s="45">
        <f t="shared" si="1"/>
        <v>71.312699999999992</v>
      </c>
    </row>
    <row r="16" spans="1:12" s="48" customFormat="1" ht="15.75" x14ac:dyDescent="0.25">
      <c r="A16" s="91" t="s">
        <v>30</v>
      </c>
      <c r="B16" s="90" t="s">
        <v>32</v>
      </c>
      <c r="C16" s="17" t="s">
        <v>69</v>
      </c>
      <c r="D16" s="17" t="s">
        <v>70</v>
      </c>
      <c r="E16" s="18">
        <v>30</v>
      </c>
      <c r="F16" s="19">
        <v>2.29</v>
      </c>
      <c r="G16" s="19">
        <f>11/50*30</f>
        <v>6.6</v>
      </c>
      <c r="H16" s="19">
        <f>0.55/50*30</f>
        <v>0.33</v>
      </c>
      <c r="I16" s="19">
        <f>0.1/50*30</f>
        <v>0.06</v>
      </c>
      <c r="J16" s="20">
        <f>1.9/50*30</f>
        <v>1.1399999999999999</v>
      </c>
    </row>
    <row r="17" spans="1:10" s="44" customFormat="1" x14ac:dyDescent="0.25">
      <c r="A17" s="92"/>
      <c r="B17" s="9" t="s">
        <v>16</v>
      </c>
      <c r="C17" s="6" t="s">
        <v>58</v>
      </c>
      <c r="D17" s="6" t="s">
        <v>59</v>
      </c>
      <c r="E17" s="21" t="s">
        <v>47</v>
      </c>
      <c r="F17" s="8">
        <v>6.5</v>
      </c>
      <c r="G17" s="8">
        <f>343*0.25</f>
        <v>85.75</v>
      </c>
      <c r="H17" s="8">
        <f>7.89*0.25</f>
        <v>1.9724999999999999</v>
      </c>
      <c r="I17" s="8">
        <f>10.85*0.25</f>
        <v>2.7124999999999999</v>
      </c>
      <c r="J17" s="10">
        <f>48.45*0.25</f>
        <v>12.112500000000001</v>
      </c>
    </row>
    <row r="18" spans="1:10" x14ac:dyDescent="0.25">
      <c r="A18" s="92"/>
      <c r="B18" s="9" t="s">
        <v>13</v>
      </c>
      <c r="C18" s="6" t="s">
        <v>62</v>
      </c>
      <c r="D18" s="6" t="s">
        <v>63</v>
      </c>
      <c r="E18" s="21">
        <v>60</v>
      </c>
      <c r="F18" s="8">
        <v>28.65</v>
      </c>
      <c r="G18" s="78">
        <f>182/50*60</f>
        <v>218.4</v>
      </c>
      <c r="H18" s="78">
        <f>6.74/50*60</f>
        <v>8.088000000000001</v>
      </c>
      <c r="I18" s="78">
        <f>13.91/50*60</f>
        <v>16.692</v>
      </c>
      <c r="J18" s="79">
        <f>7.09/50*60</f>
        <v>8.5080000000000009</v>
      </c>
    </row>
    <row r="19" spans="1:10" s="37" customFormat="1" x14ac:dyDescent="0.25">
      <c r="A19" s="92"/>
      <c r="B19" s="9" t="s">
        <v>17</v>
      </c>
      <c r="C19" s="6" t="s">
        <v>60</v>
      </c>
      <c r="D19" s="6" t="s">
        <v>61</v>
      </c>
      <c r="E19" s="21">
        <v>120</v>
      </c>
      <c r="F19" s="8">
        <v>14.65</v>
      </c>
      <c r="G19" s="87">
        <f>1625*0.12</f>
        <v>195</v>
      </c>
      <c r="H19" s="87">
        <f>57.32*0.12</f>
        <v>6.8784000000000001</v>
      </c>
      <c r="I19" s="87">
        <f>40.62*0.12</f>
        <v>4.8743999999999996</v>
      </c>
      <c r="J19" s="88">
        <f>257.61*0.12</f>
        <v>30.9132</v>
      </c>
    </row>
    <row r="20" spans="1:10" x14ac:dyDescent="0.25">
      <c r="A20" s="92"/>
      <c r="B20" s="9" t="s">
        <v>73</v>
      </c>
      <c r="C20" s="6" t="s">
        <v>74</v>
      </c>
      <c r="D20" s="6" t="s">
        <v>75</v>
      </c>
      <c r="E20" s="21">
        <v>200</v>
      </c>
      <c r="F20" s="8">
        <v>6.5</v>
      </c>
      <c r="G20" s="8">
        <v>132.80000000000001</v>
      </c>
      <c r="H20" s="8">
        <v>0.66</v>
      </c>
      <c r="I20" s="8">
        <v>0.09</v>
      </c>
      <c r="J20" s="10">
        <v>32.01</v>
      </c>
    </row>
    <row r="21" spans="1:10" s="44" customFormat="1" x14ac:dyDescent="0.25">
      <c r="A21" s="92"/>
      <c r="B21" s="9" t="s">
        <v>14</v>
      </c>
      <c r="C21" s="6" t="s">
        <v>36</v>
      </c>
      <c r="D21" s="6" t="s">
        <v>37</v>
      </c>
      <c r="E21" s="21">
        <v>22</v>
      </c>
      <c r="F21" s="8">
        <v>0.98</v>
      </c>
      <c r="G21" s="8">
        <f>229.7*0.22</f>
        <v>50.533999999999999</v>
      </c>
      <c r="H21" s="7">
        <f>6.7*0.22</f>
        <v>1.474</v>
      </c>
      <c r="I21" s="7">
        <f>1.1*0.22</f>
        <v>0.24200000000000002</v>
      </c>
      <c r="J21" s="11">
        <f>48.3*0.22</f>
        <v>10.625999999999999</v>
      </c>
    </row>
    <row r="22" spans="1:10" s="46" customFormat="1" ht="15.75" thickBot="1" x14ac:dyDescent="0.3">
      <c r="A22" s="93"/>
      <c r="B22" s="12" t="s">
        <v>22</v>
      </c>
      <c r="C22" s="13" t="s">
        <v>39</v>
      </c>
      <c r="D22" s="13" t="s">
        <v>72</v>
      </c>
      <c r="E22" s="22">
        <v>180</v>
      </c>
      <c r="F22" s="23">
        <v>37.58</v>
      </c>
      <c r="G22" s="23">
        <f>47*1.8</f>
        <v>84.600000000000009</v>
      </c>
      <c r="H22" s="23">
        <f>0.4*1.8</f>
        <v>0.72000000000000008</v>
      </c>
      <c r="I22" s="23">
        <f>0.3*1.8</f>
        <v>0.54</v>
      </c>
      <c r="J22" s="27">
        <f>10.3*1.8</f>
        <v>18.540000000000003</v>
      </c>
    </row>
    <row r="23" spans="1:10" ht="16.5" thickBot="1" x14ac:dyDescent="0.3">
      <c r="A23" s="71" t="s">
        <v>15</v>
      </c>
      <c r="B23" s="64"/>
      <c r="C23" s="64"/>
      <c r="D23" s="64"/>
      <c r="E23" s="65"/>
      <c r="F23" s="24">
        <f>SUM(F16:F22)</f>
        <v>97.149999999999991</v>
      </c>
      <c r="G23" s="24">
        <f t="shared" ref="G23:J23" si="2">SUM(G16:G22)</f>
        <v>773.68399999999997</v>
      </c>
      <c r="H23" s="24">
        <f t="shared" si="2"/>
        <v>20.122900000000001</v>
      </c>
      <c r="I23" s="24">
        <f t="shared" si="2"/>
        <v>25.210900000000002</v>
      </c>
      <c r="J23" s="24">
        <f t="shared" si="2"/>
        <v>113.8497</v>
      </c>
    </row>
    <row r="24" spans="1:10" s="42" customFormat="1" x14ac:dyDescent="0.25">
      <c r="A24" s="50" t="s">
        <v>31</v>
      </c>
      <c r="B24" s="25" t="s">
        <v>52</v>
      </c>
      <c r="C24" s="26" t="s">
        <v>66</v>
      </c>
      <c r="D24" s="26" t="s">
        <v>67</v>
      </c>
      <c r="E24" s="18">
        <v>200</v>
      </c>
      <c r="F24" s="19">
        <v>21.71</v>
      </c>
      <c r="G24" s="19">
        <v>104</v>
      </c>
      <c r="H24" s="19">
        <v>0.6</v>
      </c>
      <c r="I24" s="19">
        <v>0.2</v>
      </c>
      <c r="J24" s="20">
        <v>23.6</v>
      </c>
    </row>
    <row r="25" spans="1:10" s="42" customFormat="1" x14ac:dyDescent="0.25">
      <c r="A25" s="51"/>
      <c r="B25" s="9" t="s">
        <v>64</v>
      </c>
      <c r="C25" s="6" t="s">
        <v>53</v>
      </c>
      <c r="D25" s="6" t="s">
        <v>68</v>
      </c>
      <c r="E25" s="89">
        <v>35</v>
      </c>
      <c r="F25" s="7">
        <v>8.2899999999999991</v>
      </c>
      <c r="G25" s="85">
        <f>350*0.35</f>
        <v>122.49999999999999</v>
      </c>
      <c r="H25" s="85">
        <f>5*0.35</f>
        <v>1.75</v>
      </c>
      <c r="I25" s="85">
        <f>6*0.35</f>
        <v>2.0999999999999996</v>
      </c>
      <c r="J25" s="86">
        <f>69*0.35</f>
        <v>24.15</v>
      </c>
    </row>
    <row r="26" spans="1:10" s="46" customFormat="1" ht="15.75" thickBot="1" x14ac:dyDescent="0.3">
      <c r="A26" s="52"/>
      <c r="B26" s="12" t="s">
        <v>22</v>
      </c>
      <c r="C26" s="13" t="s">
        <v>39</v>
      </c>
      <c r="D26" s="13" t="s">
        <v>71</v>
      </c>
      <c r="E26" s="22">
        <v>80</v>
      </c>
      <c r="F26" s="23">
        <v>12.29</v>
      </c>
      <c r="G26" s="23">
        <f>47*0.8</f>
        <v>37.6</v>
      </c>
      <c r="H26" s="14">
        <f>0.4*0.8</f>
        <v>0.32000000000000006</v>
      </c>
      <c r="I26" s="14">
        <f>0.4*0.8</f>
        <v>0.32000000000000006</v>
      </c>
      <c r="J26" s="15">
        <f>9.8*0.8</f>
        <v>7.8400000000000007</v>
      </c>
    </row>
    <row r="27" spans="1:10" ht="16.5" thickBot="1" x14ac:dyDescent="0.3">
      <c r="A27" s="53" t="s">
        <v>15</v>
      </c>
      <c r="B27" s="54"/>
      <c r="C27" s="54"/>
      <c r="D27" s="54"/>
      <c r="E27" s="55"/>
      <c r="F27" s="3">
        <f>SUM(F24:F26)</f>
        <v>42.29</v>
      </c>
      <c r="G27" s="3">
        <f>SUM(G24:G26)</f>
        <v>264.10000000000002</v>
      </c>
      <c r="H27" s="3">
        <f>SUM(H24:H26)</f>
        <v>2.67</v>
      </c>
      <c r="I27" s="3">
        <f>SUM(I24:I26)</f>
        <v>2.62</v>
      </c>
      <c r="J27" s="3">
        <f>SUM(J24:J26)</f>
        <v>55.59</v>
      </c>
    </row>
    <row r="29" spans="1:10" ht="15.75" thickBot="1" x14ac:dyDescent="0.3">
      <c r="A29" s="62" t="s">
        <v>26</v>
      </c>
      <c r="B29" s="62"/>
      <c r="C29" s="62"/>
      <c r="D29" s="62"/>
      <c r="E29" s="62"/>
      <c r="F29" s="62"/>
      <c r="G29" s="62"/>
      <c r="H29" s="62"/>
      <c r="I29" s="62"/>
      <c r="J29" s="62"/>
    </row>
    <row r="30" spans="1:10" ht="15.75" x14ac:dyDescent="0.25">
      <c r="A30" s="34"/>
      <c r="B30" s="34"/>
      <c r="C30" s="61" t="s">
        <v>24</v>
      </c>
      <c r="D30" s="61"/>
      <c r="G30" s="63"/>
      <c r="H30" s="63"/>
      <c r="I30" s="63"/>
      <c r="J30" s="63"/>
    </row>
    <row r="31" spans="1:10" x14ac:dyDescent="0.25">
      <c r="A31" s="1"/>
      <c r="B31" s="1"/>
      <c r="C31" s="1"/>
      <c r="D31" s="1"/>
    </row>
    <row r="32" spans="1:10" ht="15" customHeight="1" x14ac:dyDescent="0.25">
      <c r="A32" s="49" t="s">
        <v>25</v>
      </c>
      <c r="B32" s="49"/>
    </row>
    <row r="33" spans="1:2" ht="15" customHeight="1" x14ac:dyDescent="0.25">
      <c r="A33" s="49" t="s">
        <v>27</v>
      </c>
      <c r="B33" s="49"/>
    </row>
    <row r="34" spans="1:2" x14ac:dyDescent="0.25">
      <c r="A34" s="4"/>
    </row>
  </sheetData>
  <mergeCells count="15">
    <mergeCell ref="B1:C1"/>
    <mergeCell ref="G1:J1"/>
    <mergeCell ref="C30:D30"/>
    <mergeCell ref="A29:J29"/>
    <mergeCell ref="G30:J30"/>
    <mergeCell ref="A9:E9"/>
    <mergeCell ref="A10:A14"/>
    <mergeCell ref="A15:E15"/>
    <mergeCell ref="A23:E23"/>
    <mergeCell ref="A16:A22"/>
    <mergeCell ref="A32:B32"/>
    <mergeCell ref="A33:B33"/>
    <mergeCell ref="A3:A8"/>
    <mergeCell ref="A27:E27"/>
    <mergeCell ref="A24:A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16" workbookViewId="0">
      <selection activeCell="J30" sqref="J30"/>
    </sheetView>
  </sheetViews>
  <sheetFormatPr defaultRowHeight="15" x14ac:dyDescent="0.25"/>
  <cols>
    <col min="1" max="1" width="24" style="2" customWidth="1"/>
    <col min="2" max="2" width="19.140625" style="2" customWidth="1"/>
    <col min="3" max="3" width="12.5703125" style="2" customWidth="1"/>
    <col min="4" max="4" width="50.85546875" style="2" customWidth="1"/>
    <col min="5" max="5" width="9.85546875" style="2" customWidth="1"/>
    <col min="6" max="6" width="9.140625" style="2"/>
    <col min="7" max="7" width="14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56" t="s">
        <v>23</v>
      </c>
      <c r="C1" s="57"/>
      <c r="D1" s="1" t="s">
        <v>1</v>
      </c>
      <c r="E1" s="41"/>
      <c r="F1" s="1" t="s">
        <v>2</v>
      </c>
      <c r="G1" s="58">
        <v>44816</v>
      </c>
      <c r="H1" s="59"/>
      <c r="I1" s="59"/>
      <c r="J1" s="60"/>
      <c r="K1" s="1"/>
      <c r="L1" s="1"/>
    </row>
    <row r="2" spans="1:12" ht="15.75" thickBot="1" x14ac:dyDescent="0.3">
      <c r="A2" s="39" t="s">
        <v>3</v>
      </c>
      <c r="B2" s="5" t="s">
        <v>4</v>
      </c>
      <c r="C2" s="40" t="s">
        <v>5</v>
      </c>
      <c r="D2" s="39" t="s">
        <v>6</v>
      </c>
      <c r="E2" s="39" t="s">
        <v>7</v>
      </c>
      <c r="F2" s="39" t="s">
        <v>8</v>
      </c>
      <c r="G2" s="5" t="s">
        <v>9</v>
      </c>
      <c r="H2" s="5" t="s">
        <v>10</v>
      </c>
      <c r="I2" s="5" t="s">
        <v>11</v>
      </c>
      <c r="J2" s="35" t="s">
        <v>12</v>
      </c>
    </row>
    <row r="3" spans="1:12" x14ac:dyDescent="0.25">
      <c r="A3" s="72" t="s">
        <v>40</v>
      </c>
      <c r="B3" s="16" t="s">
        <v>32</v>
      </c>
      <c r="C3" s="17" t="s">
        <v>34</v>
      </c>
      <c r="D3" s="17" t="s">
        <v>35</v>
      </c>
      <c r="E3" s="18">
        <v>20</v>
      </c>
      <c r="F3" s="18">
        <v>20.79</v>
      </c>
      <c r="G3" s="19">
        <f>3.64*20</f>
        <v>72.8</v>
      </c>
      <c r="H3" s="19">
        <f>23.2*0.2</f>
        <v>4.6399999999999997</v>
      </c>
      <c r="I3" s="19">
        <f>29.5*0.2</f>
        <v>5.9</v>
      </c>
      <c r="J3" s="20">
        <f>0</f>
        <v>0</v>
      </c>
    </row>
    <row r="4" spans="1:12" x14ac:dyDescent="0.25">
      <c r="A4" s="72"/>
      <c r="B4" s="9" t="s">
        <v>32</v>
      </c>
      <c r="C4" s="6" t="s">
        <v>48</v>
      </c>
      <c r="D4" s="6" t="s">
        <v>49</v>
      </c>
      <c r="E4" s="21">
        <v>70</v>
      </c>
      <c r="F4" s="8">
        <v>8.92</v>
      </c>
      <c r="G4" s="8">
        <f>794*0.07</f>
        <v>55.580000000000005</v>
      </c>
      <c r="H4" s="8">
        <f>8.3*0.07</f>
        <v>0.58100000000000007</v>
      </c>
      <c r="I4" s="8">
        <f>61.08*0.07</f>
        <v>4.2755999999999998</v>
      </c>
      <c r="J4" s="10">
        <f>52.73*0.07</f>
        <v>3.6911</v>
      </c>
    </row>
    <row r="5" spans="1:12" x14ac:dyDescent="0.25">
      <c r="A5" s="72"/>
      <c r="B5" s="9" t="s">
        <v>13</v>
      </c>
      <c r="C5" s="6" t="s">
        <v>33</v>
      </c>
      <c r="D5" s="6" t="s">
        <v>50</v>
      </c>
      <c r="E5" s="21" t="s">
        <v>51</v>
      </c>
      <c r="F5" s="8">
        <v>27.55</v>
      </c>
      <c r="G5" s="8">
        <f>79*2+66*0.8</f>
        <v>210.8</v>
      </c>
      <c r="H5" s="8">
        <f>5.32*2+0.08*0.8</f>
        <v>10.704000000000001</v>
      </c>
      <c r="I5" s="8">
        <f>5.97*2+7.25*0.8</f>
        <v>17.740000000000002</v>
      </c>
      <c r="J5" s="10">
        <f>0.95*2+0.13*0.8</f>
        <v>2.004</v>
      </c>
    </row>
    <row r="6" spans="1:12" x14ac:dyDescent="0.25">
      <c r="A6" s="72"/>
      <c r="B6" s="9" t="s">
        <v>18</v>
      </c>
      <c r="C6" s="6" t="s">
        <v>76</v>
      </c>
      <c r="D6" s="6" t="s">
        <v>77</v>
      </c>
      <c r="E6" s="21" t="s">
        <v>78</v>
      </c>
      <c r="F6" s="8">
        <v>4.03</v>
      </c>
      <c r="G6" s="8">
        <v>62</v>
      </c>
      <c r="H6" s="8">
        <v>0.13</v>
      </c>
      <c r="I6" s="8">
        <v>0.02</v>
      </c>
      <c r="J6" s="10">
        <v>15.2</v>
      </c>
    </row>
    <row r="7" spans="1:12" x14ac:dyDescent="0.25">
      <c r="A7" s="72"/>
      <c r="B7" s="9" t="s">
        <v>21</v>
      </c>
      <c r="C7" s="6" t="s">
        <v>45</v>
      </c>
      <c r="D7" s="6" t="s">
        <v>46</v>
      </c>
      <c r="E7" s="21">
        <v>50</v>
      </c>
      <c r="F7" s="8">
        <v>7.43</v>
      </c>
      <c r="G7" s="8">
        <f>397.2*0.5</f>
        <v>198.6</v>
      </c>
      <c r="H7" s="7">
        <f>8.2*0.5</f>
        <v>4.0999999999999996</v>
      </c>
      <c r="I7" s="7">
        <f>15.4*0.5</f>
        <v>7.7</v>
      </c>
      <c r="J7" s="11">
        <f>56.4*0.5</f>
        <v>28.2</v>
      </c>
    </row>
    <row r="8" spans="1:12" ht="15.75" thickBot="1" x14ac:dyDescent="0.3">
      <c r="A8" s="73"/>
      <c r="B8" s="12" t="s">
        <v>14</v>
      </c>
      <c r="C8" s="13" t="s">
        <v>36</v>
      </c>
      <c r="D8" s="13" t="s">
        <v>37</v>
      </c>
      <c r="E8" s="22">
        <v>17.5</v>
      </c>
      <c r="F8" s="23">
        <v>0.78</v>
      </c>
      <c r="G8" s="23">
        <f>229.7*0.175</f>
        <v>40.197499999999998</v>
      </c>
      <c r="H8" s="14">
        <f>6.7*0.175</f>
        <v>1.1724999999999999</v>
      </c>
      <c r="I8" s="14">
        <f>1.1*0.175</f>
        <v>0.1925</v>
      </c>
      <c r="J8" s="15">
        <f>48.3*0.175</f>
        <v>8.4524999999999988</v>
      </c>
    </row>
    <row r="9" spans="1:12" ht="16.5" thickBot="1" x14ac:dyDescent="0.3">
      <c r="A9" s="75" t="s">
        <v>15</v>
      </c>
      <c r="B9" s="64"/>
      <c r="C9" s="64"/>
      <c r="D9" s="64"/>
      <c r="E9" s="65"/>
      <c r="F9" s="24">
        <f>SUM(F3:F8)</f>
        <v>69.5</v>
      </c>
      <c r="G9" s="24">
        <f t="shared" ref="G9:J9" si="0">SUM(G3:G8)</f>
        <v>639.97749999999996</v>
      </c>
      <c r="H9" s="24">
        <f t="shared" si="0"/>
        <v>21.327500000000001</v>
      </c>
      <c r="I9" s="24">
        <f t="shared" si="0"/>
        <v>35.828100000000006</v>
      </c>
      <c r="J9" s="24">
        <f t="shared" si="0"/>
        <v>57.547600000000003</v>
      </c>
    </row>
    <row r="10" spans="1:12" s="37" customFormat="1" ht="15.75" thickTop="1" x14ac:dyDescent="0.25">
      <c r="A10" s="74" t="s">
        <v>41</v>
      </c>
      <c r="B10" s="25" t="s">
        <v>13</v>
      </c>
      <c r="C10" s="26" t="s">
        <v>33</v>
      </c>
      <c r="D10" s="26" t="s">
        <v>50</v>
      </c>
      <c r="E10" s="18" t="s">
        <v>79</v>
      </c>
      <c r="F10" s="19">
        <v>21.96</v>
      </c>
      <c r="G10" s="19">
        <f>79*2+66*0.3</f>
        <v>177.8</v>
      </c>
      <c r="H10" s="19">
        <f>5.32*2+0.08*0.3</f>
        <v>10.664</v>
      </c>
      <c r="I10" s="19">
        <f>5.97*2+7.25*0.3</f>
        <v>14.114999999999998</v>
      </c>
      <c r="J10" s="20">
        <f>0.95*2+0.13*0.3</f>
        <v>1.9389999999999998</v>
      </c>
    </row>
    <row r="11" spans="1:12" s="36" customFormat="1" x14ac:dyDescent="0.25">
      <c r="A11" s="72"/>
      <c r="B11" s="9" t="s">
        <v>18</v>
      </c>
      <c r="C11" s="6" t="s">
        <v>76</v>
      </c>
      <c r="D11" s="6" t="s">
        <v>77</v>
      </c>
      <c r="E11" s="21" t="s">
        <v>78</v>
      </c>
      <c r="F11" s="8">
        <v>4.03</v>
      </c>
      <c r="G11" s="8">
        <v>62</v>
      </c>
      <c r="H11" s="8">
        <v>0.13</v>
      </c>
      <c r="I11" s="8">
        <v>0.02</v>
      </c>
      <c r="J11" s="10">
        <v>15.2</v>
      </c>
    </row>
    <row r="12" spans="1:12" s="36" customFormat="1" ht="15.75" thickBot="1" x14ac:dyDescent="0.3">
      <c r="A12" s="72"/>
      <c r="B12" s="12" t="s">
        <v>14</v>
      </c>
      <c r="C12" s="13" t="s">
        <v>36</v>
      </c>
      <c r="D12" s="13" t="s">
        <v>37</v>
      </c>
      <c r="E12" s="22">
        <v>22.5</v>
      </c>
      <c r="F12" s="23">
        <v>1.01</v>
      </c>
      <c r="G12" s="23">
        <f>229.7*0.225</f>
        <v>51.682499999999997</v>
      </c>
      <c r="H12" s="14">
        <f>6.7*0.225</f>
        <v>1.5075000000000001</v>
      </c>
      <c r="I12" s="14">
        <f>1.1*0.225</f>
        <v>0.24750000000000003</v>
      </c>
      <c r="J12" s="15">
        <f>48.3*0.225</f>
        <v>10.8675</v>
      </c>
    </row>
    <row r="13" spans="1:12" ht="16.5" thickBot="1" x14ac:dyDescent="0.3">
      <c r="A13" s="75" t="s">
        <v>15</v>
      </c>
      <c r="B13" s="64"/>
      <c r="C13" s="64"/>
      <c r="D13" s="64"/>
      <c r="E13" s="65"/>
      <c r="F13" s="24">
        <f>SUM(F10:F12)</f>
        <v>27.000000000000004</v>
      </c>
      <c r="G13" s="24">
        <f>SUM(G10:G12)</f>
        <v>291.48250000000002</v>
      </c>
      <c r="H13" s="24">
        <f>SUM(H10:H12)</f>
        <v>12.301500000000001</v>
      </c>
      <c r="I13" s="24">
        <f>SUM(I10:I12)</f>
        <v>14.382499999999999</v>
      </c>
      <c r="J13" s="24">
        <f>SUM(J10:J12)</f>
        <v>28.006499999999999</v>
      </c>
    </row>
    <row r="14" spans="1:12" ht="28.5" customHeight="1" thickTop="1" x14ac:dyDescent="0.25">
      <c r="A14" s="74" t="s">
        <v>43</v>
      </c>
      <c r="B14" s="25" t="s">
        <v>18</v>
      </c>
      <c r="C14" s="26" t="s">
        <v>19</v>
      </c>
      <c r="D14" s="26" t="s">
        <v>20</v>
      </c>
      <c r="E14" s="18" t="s">
        <v>38</v>
      </c>
      <c r="F14" s="19">
        <v>2.5</v>
      </c>
      <c r="G14" s="19">
        <v>60</v>
      </c>
      <c r="H14" s="19">
        <v>7.0000000000000007E-2</v>
      </c>
      <c r="I14" s="19">
        <v>0.02</v>
      </c>
      <c r="J14" s="20">
        <v>15</v>
      </c>
    </row>
    <row r="15" spans="1:12" ht="32.25" customHeight="1" thickBot="1" x14ac:dyDescent="0.3">
      <c r="A15" s="72"/>
      <c r="B15" s="12" t="s">
        <v>64</v>
      </c>
      <c r="C15" s="13" t="s">
        <v>53</v>
      </c>
      <c r="D15" s="13" t="s">
        <v>65</v>
      </c>
      <c r="E15" s="22">
        <v>24</v>
      </c>
      <c r="F15" s="23">
        <v>4.5</v>
      </c>
      <c r="G15" s="23">
        <f>410*0.24</f>
        <v>98.399999999999991</v>
      </c>
      <c r="H15" s="23">
        <f>7*0.24</f>
        <v>1.68</v>
      </c>
      <c r="I15" s="23">
        <f>10*0.24</f>
        <v>2.4</v>
      </c>
      <c r="J15" s="27">
        <f>74*0.24</f>
        <v>17.759999999999998</v>
      </c>
    </row>
    <row r="16" spans="1:12" ht="16.5" thickBot="1" x14ac:dyDescent="0.3">
      <c r="A16" s="75" t="s">
        <v>15</v>
      </c>
      <c r="B16" s="64"/>
      <c r="C16" s="64"/>
      <c r="D16" s="64"/>
      <c r="E16" s="65"/>
      <c r="F16" s="24">
        <f>SUM(F14:F15)</f>
        <v>7</v>
      </c>
      <c r="G16" s="24">
        <f t="shared" ref="G16:J16" si="1">SUM(G14:G15)</f>
        <v>158.39999999999998</v>
      </c>
      <c r="H16" s="24">
        <f t="shared" si="1"/>
        <v>1.75</v>
      </c>
      <c r="I16" s="24">
        <f t="shared" si="1"/>
        <v>2.42</v>
      </c>
      <c r="J16" s="24">
        <f t="shared" si="1"/>
        <v>32.76</v>
      </c>
    </row>
    <row r="17" spans="1:10" x14ac:dyDescent="0.25">
      <c r="A17" s="66" t="s">
        <v>42</v>
      </c>
      <c r="B17" s="25" t="s">
        <v>16</v>
      </c>
      <c r="C17" s="26" t="s">
        <v>58</v>
      </c>
      <c r="D17" s="26" t="s">
        <v>59</v>
      </c>
      <c r="E17" s="18" t="s">
        <v>47</v>
      </c>
      <c r="F17" s="19">
        <v>6.5</v>
      </c>
      <c r="G17" s="19">
        <f>343*0.25</f>
        <v>85.75</v>
      </c>
      <c r="H17" s="19">
        <f>7.89*0.25</f>
        <v>1.9724999999999999</v>
      </c>
      <c r="I17" s="19">
        <f>10.85*0.25</f>
        <v>2.7124999999999999</v>
      </c>
      <c r="J17" s="20">
        <f>48.45*0.25</f>
        <v>12.112500000000001</v>
      </c>
    </row>
    <row r="18" spans="1:10" x14ac:dyDescent="0.25">
      <c r="A18" s="67"/>
      <c r="B18" s="9" t="s">
        <v>13</v>
      </c>
      <c r="C18" s="6" t="s">
        <v>62</v>
      </c>
      <c r="D18" s="6" t="s">
        <v>63</v>
      </c>
      <c r="E18" s="21">
        <v>37.5</v>
      </c>
      <c r="F18" s="8">
        <v>17.91</v>
      </c>
      <c r="G18" s="78">
        <f>182/50*37.5</f>
        <v>136.5</v>
      </c>
      <c r="H18" s="78">
        <f>6.74/50*37.5</f>
        <v>5.0549999999999997</v>
      </c>
      <c r="I18" s="78">
        <f>13.91/50*37.5</f>
        <v>10.432500000000001</v>
      </c>
      <c r="J18" s="79">
        <f>7.09/50*37.5</f>
        <v>5.3175000000000008</v>
      </c>
    </row>
    <row r="19" spans="1:10" x14ac:dyDescent="0.25">
      <c r="A19" s="67"/>
      <c r="B19" s="9" t="s">
        <v>17</v>
      </c>
      <c r="C19" s="6" t="s">
        <v>60</v>
      </c>
      <c r="D19" s="6" t="s">
        <v>61</v>
      </c>
      <c r="E19" s="21">
        <v>130</v>
      </c>
      <c r="F19" s="8">
        <v>15.87</v>
      </c>
      <c r="G19" s="87">
        <f>1625*0.13</f>
        <v>211.25</v>
      </c>
      <c r="H19" s="87">
        <f>57.32*0.13</f>
        <v>7.4516</v>
      </c>
      <c r="I19" s="87">
        <f>40.62*0.13</f>
        <v>5.2805999999999997</v>
      </c>
      <c r="J19" s="88">
        <f>257.61*0.13</f>
        <v>33.4893</v>
      </c>
    </row>
    <row r="20" spans="1:10" x14ac:dyDescent="0.25">
      <c r="A20" s="67"/>
      <c r="B20" s="9" t="s">
        <v>18</v>
      </c>
      <c r="C20" s="6" t="s">
        <v>19</v>
      </c>
      <c r="D20" s="6" t="s">
        <v>20</v>
      </c>
      <c r="E20" s="21" t="s">
        <v>38</v>
      </c>
      <c r="F20" s="8">
        <v>2.5</v>
      </c>
      <c r="G20" s="8">
        <v>60</v>
      </c>
      <c r="H20" s="8">
        <v>7.0000000000000007E-2</v>
      </c>
      <c r="I20" s="8">
        <v>0.02</v>
      </c>
      <c r="J20" s="10">
        <v>15</v>
      </c>
    </row>
    <row r="21" spans="1:10" ht="15.75" thickBot="1" x14ac:dyDescent="0.3">
      <c r="A21" s="67"/>
      <c r="B21" s="28" t="s">
        <v>14</v>
      </c>
      <c r="C21" s="29" t="s">
        <v>36</v>
      </c>
      <c r="D21" s="29" t="s">
        <v>37</v>
      </c>
      <c r="E21" s="30">
        <v>50</v>
      </c>
      <c r="F21" s="31">
        <v>2.2200000000000002</v>
      </c>
      <c r="G21" s="31">
        <f>229.7*0.5</f>
        <v>114.85</v>
      </c>
      <c r="H21" s="32">
        <f>6.7*0.5</f>
        <v>3.35</v>
      </c>
      <c r="I21" s="32">
        <f>1.1*0.5</f>
        <v>0.55000000000000004</v>
      </c>
      <c r="J21" s="33">
        <f>48.3*0.5</f>
        <v>24.15</v>
      </c>
    </row>
    <row r="22" spans="1:10" ht="16.5" thickBot="1" x14ac:dyDescent="0.3">
      <c r="A22" s="68" t="s">
        <v>15</v>
      </c>
      <c r="B22" s="69"/>
      <c r="C22" s="69"/>
      <c r="D22" s="69"/>
      <c r="E22" s="70"/>
      <c r="F22" s="45">
        <f>SUM(F17:F21)</f>
        <v>45</v>
      </c>
      <c r="G22" s="45">
        <f t="shared" ref="G22:J22" si="2">SUM(G17:G21)</f>
        <v>608.35</v>
      </c>
      <c r="H22" s="45">
        <f t="shared" si="2"/>
        <v>17.899100000000001</v>
      </c>
      <c r="I22" s="45">
        <f t="shared" si="2"/>
        <v>18.995600000000003</v>
      </c>
      <c r="J22" s="45">
        <f t="shared" si="2"/>
        <v>90.069299999999998</v>
      </c>
    </row>
    <row r="23" spans="1:10" ht="15.75" x14ac:dyDescent="0.25">
      <c r="A23" s="67" t="s">
        <v>44</v>
      </c>
      <c r="B23" s="90" t="s">
        <v>32</v>
      </c>
      <c r="C23" s="17" t="s">
        <v>69</v>
      </c>
      <c r="D23" s="17" t="s">
        <v>70</v>
      </c>
      <c r="E23" s="18">
        <v>30</v>
      </c>
      <c r="F23" s="19">
        <v>2.29</v>
      </c>
      <c r="G23" s="19">
        <f>11/50*30</f>
        <v>6.6</v>
      </c>
      <c r="H23" s="19">
        <f>0.55/50*30</f>
        <v>0.33</v>
      </c>
      <c r="I23" s="19">
        <f>0.1/50*30</f>
        <v>0.06</v>
      </c>
      <c r="J23" s="20">
        <f>1.9/50*30</f>
        <v>1.1399999999999999</v>
      </c>
    </row>
    <row r="24" spans="1:10" x14ac:dyDescent="0.25">
      <c r="A24" s="67"/>
      <c r="B24" s="9" t="s">
        <v>16</v>
      </c>
      <c r="C24" s="6" t="s">
        <v>58</v>
      </c>
      <c r="D24" s="6" t="s">
        <v>59</v>
      </c>
      <c r="E24" s="21" t="s">
        <v>47</v>
      </c>
      <c r="F24" s="8">
        <v>6.5</v>
      </c>
      <c r="G24" s="8">
        <f>343*0.25</f>
        <v>85.75</v>
      </c>
      <c r="H24" s="8">
        <f>7.89*0.25</f>
        <v>1.9724999999999999</v>
      </c>
      <c r="I24" s="8">
        <f>10.85*0.25</f>
        <v>2.7124999999999999</v>
      </c>
      <c r="J24" s="10">
        <f>48.45*0.25</f>
        <v>12.112500000000001</v>
      </c>
    </row>
    <row r="25" spans="1:10" x14ac:dyDescent="0.25">
      <c r="A25" s="67"/>
      <c r="B25" s="9" t="s">
        <v>13</v>
      </c>
      <c r="C25" s="6" t="s">
        <v>62</v>
      </c>
      <c r="D25" s="6" t="s">
        <v>63</v>
      </c>
      <c r="E25" s="21">
        <v>60</v>
      </c>
      <c r="F25" s="8">
        <v>28.65</v>
      </c>
      <c r="G25" s="78">
        <f>182/50*60</f>
        <v>218.4</v>
      </c>
      <c r="H25" s="78">
        <f>6.74/50*60</f>
        <v>8.088000000000001</v>
      </c>
      <c r="I25" s="78">
        <f>13.91/50*60</f>
        <v>16.692</v>
      </c>
      <c r="J25" s="79">
        <f>7.09/50*60</f>
        <v>8.5080000000000009</v>
      </c>
    </row>
    <row r="26" spans="1:10" x14ac:dyDescent="0.25">
      <c r="A26" s="67"/>
      <c r="B26" s="9" t="s">
        <v>17</v>
      </c>
      <c r="C26" s="6" t="s">
        <v>60</v>
      </c>
      <c r="D26" s="6" t="s">
        <v>61</v>
      </c>
      <c r="E26" s="21">
        <v>130</v>
      </c>
      <c r="F26" s="8">
        <v>15.87</v>
      </c>
      <c r="G26" s="87">
        <f>1625*0.13</f>
        <v>211.25</v>
      </c>
      <c r="H26" s="87">
        <f>57.32*0.13</f>
        <v>7.4516</v>
      </c>
      <c r="I26" s="87">
        <f>40.62*0.13</f>
        <v>5.2805999999999997</v>
      </c>
      <c r="J26" s="88">
        <f>257.61*0.13</f>
        <v>33.4893</v>
      </c>
    </row>
    <row r="27" spans="1:10" s="43" customFormat="1" ht="30" x14ac:dyDescent="0.25">
      <c r="A27" s="67"/>
      <c r="B27" s="9" t="s">
        <v>73</v>
      </c>
      <c r="C27" s="6" t="s">
        <v>74</v>
      </c>
      <c r="D27" s="6" t="s">
        <v>75</v>
      </c>
      <c r="E27" s="21">
        <v>200</v>
      </c>
      <c r="F27" s="8">
        <v>6.5</v>
      </c>
      <c r="G27" s="8">
        <v>132.80000000000001</v>
      </c>
      <c r="H27" s="8">
        <v>0.66</v>
      </c>
      <c r="I27" s="8">
        <v>0.09</v>
      </c>
      <c r="J27" s="10">
        <v>32.01</v>
      </c>
    </row>
    <row r="28" spans="1:10" s="48" customFormat="1" x14ac:dyDescent="0.25">
      <c r="A28" s="67"/>
      <c r="B28" s="9" t="s">
        <v>21</v>
      </c>
      <c r="C28" s="6" t="s">
        <v>45</v>
      </c>
      <c r="D28" s="6" t="s">
        <v>46</v>
      </c>
      <c r="E28" s="21">
        <v>50</v>
      </c>
      <c r="F28" s="8">
        <v>7.43</v>
      </c>
      <c r="G28" s="8">
        <f>397.2*0.5</f>
        <v>198.6</v>
      </c>
      <c r="H28" s="7">
        <f>8.2*0.5</f>
        <v>4.0999999999999996</v>
      </c>
      <c r="I28" s="7">
        <f>15.4*0.5</f>
        <v>7.7</v>
      </c>
      <c r="J28" s="11">
        <f>56.4*0.5</f>
        <v>28.2</v>
      </c>
    </row>
    <row r="29" spans="1:10" s="46" customFormat="1" ht="15.75" thickBot="1" x14ac:dyDescent="0.3">
      <c r="A29" s="67"/>
      <c r="B29" s="12" t="s">
        <v>14</v>
      </c>
      <c r="C29" s="13" t="s">
        <v>36</v>
      </c>
      <c r="D29" s="13" t="s">
        <v>37</v>
      </c>
      <c r="E29" s="22">
        <v>50.5</v>
      </c>
      <c r="F29" s="23">
        <v>2.2599999999999998</v>
      </c>
      <c r="G29" s="23">
        <f>229.7*0.505</f>
        <v>115.99849999999999</v>
      </c>
      <c r="H29" s="14">
        <f>6.7*0.505</f>
        <v>3.3835000000000002</v>
      </c>
      <c r="I29" s="14">
        <f>1.1*0.505</f>
        <v>0.5555000000000001</v>
      </c>
      <c r="J29" s="15">
        <f>48.3*0.505</f>
        <v>24.391499999999997</v>
      </c>
    </row>
    <row r="30" spans="1:10" ht="16.5" thickBot="1" x14ac:dyDescent="0.3">
      <c r="A30" s="68" t="s">
        <v>15</v>
      </c>
      <c r="B30" s="76"/>
      <c r="C30" s="76"/>
      <c r="D30" s="76"/>
      <c r="E30" s="77"/>
      <c r="F30" s="47">
        <f>SUM(F23:F29)</f>
        <v>69.5</v>
      </c>
      <c r="G30" s="47">
        <f>SUM(G23:G29)</f>
        <v>969.39850000000001</v>
      </c>
      <c r="H30" s="47">
        <f>SUM(H23:H29)</f>
        <v>25.985600000000002</v>
      </c>
      <c r="I30" s="47">
        <f>SUM(I23:I29)</f>
        <v>33.090600000000002</v>
      </c>
      <c r="J30" s="47">
        <f>SUM(J23:J29)</f>
        <v>139.85130000000001</v>
      </c>
    </row>
    <row r="32" spans="1:10" ht="15.75" thickBot="1" x14ac:dyDescent="0.3">
      <c r="A32" s="62" t="s">
        <v>26</v>
      </c>
      <c r="B32" s="62"/>
      <c r="C32" s="62"/>
      <c r="D32" s="62"/>
      <c r="E32" s="62"/>
      <c r="F32" s="62"/>
      <c r="G32" s="62"/>
      <c r="H32" s="62"/>
      <c r="I32" s="62"/>
      <c r="J32" s="62"/>
    </row>
    <row r="33" spans="1:10" ht="15.75" x14ac:dyDescent="0.25">
      <c r="A33" s="34"/>
      <c r="B33" s="34"/>
      <c r="C33" s="61" t="s">
        <v>24</v>
      </c>
      <c r="D33" s="61"/>
      <c r="G33" s="63"/>
      <c r="H33" s="63"/>
      <c r="I33" s="63"/>
      <c r="J33" s="63"/>
    </row>
    <row r="34" spans="1:10" x14ac:dyDescent="0.25">
      <c r="A34" s="1"/>
      <c r="B34" s="1"/>
      <c r="C34" s="1"/>
      <c r="D34" s="1"/>
    </row>
    <row r="35" spans="1:10" x14ac:dyDescent="0.25">
      <c r="A35" s="49" t="s">
        <v>25</v>
      </c>
      <c r="B35" s="49"/>
    </row>
    <row r="36" spans="1:10" x14ac:dyDescent="0.25">
      <c r="A36" s="49" t="s">
        <v>27</v>
      </c>
      <c r="B36" s="49"/>
    </row>
    <row r="37" spans="1:10" x14ac:dyDescent="0.25">
      <c r="A37" s="4"/>
    </row>
  </sheetData>
  <mergeCells count="17">
    <mergeCell ref="B1:C1"/>
    <mergeCell ref="G1:J1"/>
    <mergeCell ref="A3:A8"/>
    <mergeCell ref="A9:E9"/>
    <mergeCell ref="A17:A21"/>
    <mergeCell ref="A35:B35"/>
    <mergeCell ref="A36:B36"/>
    <mergeCell ref="A10:A12"/>
    <mergeCell ref="A13:E13"/>
    <mergeCell ref="A14:A15"/>
    <mergeCell ref="A16:E16"/>
    <mergeCell ref="A23:A29"/>
    <mergeCell ref="A30:E30"/>
    <mergeCell ref="A32:J32"/>
    <mergeCell ref="C33:D33"/>
    <mergeCell ref="G33:J33"/>
    <mergeCell ref="A22:E2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</vt:lpstr>
      <vt:lpstr>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2022-09-09T12:45:51Z</dcterms:modified>
</cp:coreProperties>
</file>