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6" i="2"/>
  <c r="I26" i="2"/>
  <c r="H26" i="2"/>
  <c r="G26" i="2"/>
  <c r="J27" i="2"/>
  <c r="I27" i="2"/>
  <c r="H27" i="2"/>
  <c r="G27" i="2"/>
  <c r="J25" i="2"/>
  <c r="I25" i="2"/>
  <c r="H25" i="2"/>
  <c r="G25" i="2"/>
  <c r="G24" i="2"/>
  <c r="J23" i="2"/>
  <c r="I23" i="2"/>
  <c r="H23" i="2"/>
  <c r="G23" i="2"/>
  <c r="J20" i="2" l="1"/>
  <c r="I20" i="2"/>
  <c r="H20" i="2"/>
  <c r="G20" i="2"/>
  <c r="J19" i="2"/>
  <c r="I19" i="2"/>
  <c r="H19" i="2"/>
  <c r="G19" i="2"/>
  <c r="J18" i="2"/>
  <c r="I18" i="2"/>
  <c r="H18" i="2"/>
  <c r="G18" i="2"/>
  <c r="J15" i="2"/>
  <c r="I15" i="2"/>
  <c r="H15" i="2"/>
  <c r="G15" i="2"/>
  <c r="J13" i="2" l="1"/>
  <c r="I13" i="2"/>
  <c r="H13" i="2"/>
  <c r="G13" i="2"/>
  <c r="J11" i="2"/>
  <c r="I11" i="2"/>
  <c r="H11" i="2"/>
  <c r="G11" i="2"/>
  <c r="J10" i="2"/>
  <c r="I10" i="2"/>
  <c r="H10" i="2"/>
  <c r="G10" i="2"/>
  <c r="J8" i="2"/>
  <c r="I8" i="2"/>
  <c r="H8" i="2"/>
  <c r="G8" i="2"/>
  <c r="F9" i="2"/>
  <c r="J3" i="2"/>
  <c r="J9" i="2" s="1"/>
  <c r="I3" i="2"/>
  <c r="I9" i="2" s="1"/>
  <c r="H3" i="2"/>
  <c r="H9" i="2" s="1"/>
  <c r="G3" i="2"/>
  <c r="G9" i="2" s="1"/>
  <c r="J6" i="2"/>
  <c r="I6" i="2"/>
  <c r="H6" i="2"/>
  <c r="G6" i="2"/>
  <c r="J5" i="2"/>
  <c r="I5" i="2"/>
  <c r="H5" i="2"/>
  <c r="G5" i="2"/>
  <c r="J4" i="2"/>
  <c r="I4" i="2"/>
  <c r="H4" i="2"/>
  <c r="G4" i="2"/>
  <c r="J25" i="1"/>
  <c r="I25" i="1"/>
  <c r="H25" i="1"/>
  <c r="G25" i="1"/>
  <c r="I23" i="1" l="1"/>
  <c r="H23" i="1"/>
  <c r="G23" i="1"/>
  <c r="J23" i="1"/>
  <c r="J21" i="1"/>
  <c r="I21" i="1"/>
  <c r="H21" i="1"/>
  <c r="G21" i="1"/>
  <c r="J20" i="1"/>
  <c r="I20" i="1"/>
  <c r="H20" i="1"/>
  <c r="G20" i="1"/>
  <c r="J18" i="1"/>
  <c r="I18" i="1"/>
  <c r="H18" i="1"/>
  <c r="G18" i="1"/>
  <c r="J19" i="1"/>
  <c r="I19" i="1"/>
  <c r="H19" i="1"/>
  <c r="G19" i="1"/>
  <c r="J17" i="1"/>
  <c r="I17" i="1"/>
  <c r="H17" i="1"/>
  <c r="G17" i="1"/>
  <c r="J16" i="1"/>
  <c r="I16" i="1"/>
  <c r="H16" i="1"/>
  <c r="G16" i="1"/>
  <c r="J14" i="1" l="1"/>
  <c r="I14" i="1"/>
  <c r="H14" i="1"/>
  <c r="G14" i="1"/>
  <c r="J12" i="1"/>
  <c r="I12" i="1"/>
  <c r="H12" i="1"/>
  <c r="G12" i="1"/>
  <c r="J11" i="1" l="1"/>
  <c r="I11" i="1"/>
  <c r="H11" i="1"/>
  <c r="G11" i="1"/>
  <c r="J8" i="1"/>
  <c r="I8" i="1"/>
  <c r="H8" i="1"/>
  <c r="G8" i="1"/>
  <c r="J6" i="1"/>
  <c r="I6" i="1"/>
  <c r="H6" i="1"/>
  <c r="G6" i="1"/>
  <c r="J5" i="1"/>
  <c r="I5" i="1"/>
  <c r="H5" i="1"/>
  <c r="G5" i="1"/>
  <c r="J4" i="1" l="1"/>
  <c r="I4" i="1"/>
  <c r="H4" i="1"/>
  <c r="G4" i="1"/>
  <c r="F9" i="1"/>
  <c r="J3" i="1"/>
  <c r="J9" i="1" s="1"/>
  <c r="I3" i="1"/>
  <c r="H3" i="1"/>
  <c r="H9" i="1" s="1"/>
  <c r="G3" i="1"/>
  <c r="G9" i="1" l="1"/>
  <c r="I9" i="1"/>
  <c r="J24" i="2"/>
  <c r="F24" i="2"/>
  <c r="I24" i="2"/>
  <c r="H24" i="2"/>
  <c r="F15" i="1" l="1"/>
  <c r="F30" i="2" l="1"/>
  <c r="F22" i="1"/>
  <c r="J22" i="1" l="1"/>
  <c r="I22" i="1"/>
  <c r="H22" i="1"/>
  <c r="G22" i="1"/>
  <c r="J10" i="1" l="1"/>
  <c r="J15" i="1" s="1"/>
  <c r="I10" i="1"/>
  <c r="I15" i="1" s="1"/>
  <c r="H10" i="1"/>
  <c r="H15" i="1" s="1"/>
  <c r="G10" i="1"/>
  <c r="G15" i="1" s="1"/>
  <c r="F26" i="1"/>
  <c r="J26" i="1"/>
  <c r="I26" i="1"/>
  <c r="H26" i="1"/>
  <c r="G26" i="1"/>
  <c r="G17" i="2" l="1"/>
  <c r="J30" i="2" l="1"/>
  <c r="H30" i="2"/>
  <c r="G30" i="2"/>
  <c r="I30" i="2"/>
  <c r="F17" i="2" l="1"/>
  <c r="H17" i="2"/>
  <c r="F14" i="2"/>
  <c r="G14" i="2" l="1"/>
  <c r="I14" i="2"/>
  <c r="J17" i="2"/>
  <c r="H14" i="2"/>
  <c r="J14" i="2"/>
  <c r="I17" i="2"/>
</calcChain>
</file>

<file path=xl/sharedStrings.xml><?xml version="1.0" encoding="utf-8"?>
<sst xmlns="http://schemas.openxmlformats.org/spreadsheetml/2006/main" count="199" uniqueCount="73">
  <si>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</si>
  <si>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</si>
  <si>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</si>
  <si>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</si>
  <si>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</si>
  <si>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</si>
  <si>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</si>
  <si>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</si>
  <si>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</si>
  <si>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</si>
  <si>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</si>
  <si>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</si>
  <si>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</si>
  <si>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</si>
  <si>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</si>
  <si>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</si>
  <si>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</si>
  <si>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</si>
  <si>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</si>
  <si>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</si>
  <si>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</si>
  <si>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</si>
  <si>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</si>
  <si>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</si>
  <si>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</si>
  <si>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</si>
  <si>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</si>
  <si>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</si>
  <si>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</si>
  <si>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</si>
  <si>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</si>
  <si>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</si>
  <si>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</si>
  <si>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</si>
  <si>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</si>
  <si>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</si>
  <si>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</si>
  <si>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</si>
  <si>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</si>
  <si>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Обед 6-7 кл. 2-я смена</t>
  </si>
  <si>
    <t>Кондитерское изделие</t>
  </si>
  <si>
    <t>ПР</t>
  </si>
  <si>
    <t>№88-2015г.</t>
  </si>
  <si>
    <t>№71-2015г.</t>
  </si>
  <si>
    <t>Овощи натуральные свежие (огурцы)</t>
  </si>
  <si>
    <t>Щи из свежей капусты с картофелем со сметаной и зеленью</t>
  </si>
  <si>
    <t>250/10/2</t>
  </si>
  <si>
    <t>Напиток (сладкое блюдо)</t>
  </si>
  <si>
    <t>№342-2015г.</t>
  </si>
  <si>
    <t>Компот из свежих груш</t>
  </si>
  <si>
    <t>ТТК №50</t>
  </si>
  <si>
    <t>Бутерброд с красной рыбой сл/с</t>
  </si>
  <si>
    <t>15/25</t>
  </si>
  <si>
    <t>ТТК №54</t>
  </si>
  <si>
    <t>ТТК №18</t>
  </si>
  <si>
    <t>Филе цыплёнка запечённое</t>
  </si>
  <si>
    <t>№268-2015г.</t>
  </si>
  <si>
    <t>Котлета из свинины</t>
  </si>
  <si>
    <t>№304-2015г.</t>
  </si>
  <si>
    <t>Рис отварной</t>
  </si>
  <si>
    <t>№425-2015г.</t>
  </si>
  <si>
    <t>Булочка дорожная</t>
  </si>
  <si>
    <t>ТТК №13</t>
  </si>
  <si>
    <t>Картофель тушёный по-домашнему</t>
  </si>
  <si>
    <t>Блинчик со сгущённым молоком</t>
  </si>
  <si>
    <t>№3-2015г.</t>
  </si>
  <si>
    <t>Бутерброд с сыром</t>
  </si>
  <si>
    <t>10/20</t>
  </si>
  <si>
    <t>Пряник сливочный</t>
  </si>
  <si>
    <t>15/5/25</t>
  </si>
  <si>
    <t>20/36</t>
  </si>
  <si>
    <t>Бутерброд с повидлом</t>
  </si>
  <si>
    <t>№2-2015г.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</si>
</sst>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2" fontId="3" fillId="0" borderId="13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7" fillId="0" borderId="5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2" fontId="7" fillId="0" borderId="10" xfId="0" applyNumberFormat="1" applyFont="1" applyBorder="1" applyAlignment="1">
      <alignment horizontal="right" vertical="center" wrapText="1"/>
    </xf>
    <xf numFmtId="2" fontId="7" fillId="0" borderId="11" xfId="0" applyNumberFormat="1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3" xfId="0" applyFont="1" applyBorder="1" applyAlignment="1">
      <alignment horizontal="right" vertical="center" wrapText="1"/>
    </xf>
    <xf numFmtId="2" fontId="3" fillId="0" borderId="43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/>
    <xf numFmtId="49" fontId="3" fillId="0" borderId="10" xfId="0" applyNumberFormat="1" applyFont="1" applyBorder="1" applyAlignment="1">
      <alignment horizontal="right" vertical="center" wrapText="1"/>
    </xf>
    <xf numFmtId="0" fontId="3" fillId="0" borderId="0" xfId="0" applyFont="1"/>
    <xf numFmtId="0" fontId="9" fillId="0" borderId="38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2" fontId="4" fillId="0" borderId="3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3" fillId="0" borderId="15" xfId="0" applyNumberFormat="1" applyFont="1" applyBorder="1" applyAlignment="1">
      <alignment horizontal="right" vertical="center" wrapText="1"/>
    </xf>
    <xf numFmtId="0" fontId="3" fillId="0" borderId="5" xfId="2" applyFont="1" applyBorder="1" applyAlignment="1">
      <alignment horizontal="left" vertical="center" wrapText="1"/>
    </xf>
    <xf numFmtId="2" fontId="3" fillId="0" borderId="5" xfId="2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3" xfId="2" applyNumberFormat="1" applyFont="1" applyBorder="1" applyAlignment="1">
      <alignment horizontal="right" vertical="center" wrapText="1"/>
    </xf>
    <xf numFmtId="0" fontId="3" fillId="0" borderId="35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10" sqref="B10:J14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4" t="s">
        <v>22</v>
      </c>
      <c r="C1" s="65"/>
      <c r="D1" s="1" t="s">
        <v>1</v>
      </c>
      <c r="E1" s="27"/>
      <c r="F1" s="1" t="s">
        <v>2</v>
      </c>
      <c r="G1" s="66">
        <v>44817</v>
      </c>
      <c r="H1" s="67"/>
      <c r="I1" s="67"/>
      <c r="J1" s="68"/>
      <c r="K1" s="1"/>
      <c r="L1" s="1"/>
    </row>
    <row r="2" spans="1:12" ht="15.75" thickBot="1" x14ac:dyDescent="0.3">
      <c r="A2" s="34" t="s">
        <v>3</v>
      </c>
      <c r="B2" s="5" t="s">
        <v>4</v>
      </c>
      <c r="C2" s="35" t="s">
        <v>5</v>
      </c>
      <c r="D2" s="39" t="s">
        <v>6</v>
      </c>
      <c r="E2" s="39" t="s">
        <v>7</v>
      </c>
      <c r="F2" s="39" t="s">
        <v>8</v>
      </c>
      <c r="G2" s="5" t="s">
        <v>9</v>
      </c>
      <c r="H2" s="5" t="s">
        <v>10</v>
      </c>
      <c r="I2" s="5" t="s">
        <v>11</v>
      </c>
      <c r="J2" s="36" t="s">
        <v>12</v>
      </c>
    </row>
    <row r="3" spans="1:12" s="61" customFormat="1" x14ac:dyDescent="0.25">
      <c r="A3" s="109" t="s">
        <v>27</v>
      </c>
      <c r="B3" s="21" t="s">
        <v>31</v>
      </c>
      <c r="C3" s="22" t="s">
        <v>43</v>
      </c>
      <c r="D3" s="22" t="s">
        <v>44</v>
      </c>
      <c r="E3" s="14">
        <v>30</v>
      </c>
      <c r="F3" s="15">
        <v>5.22</v>
      </c>
      <c r="G3" s="15">
        <f>6*0.6</f>
        <v>3.5999999999999996</v>
      </c>
      <c r="H3" s="15">
        <f>0.35*0.6</f>
        <v>0.21</v>
      </c>
      <c r="I3" s="15">
        <f>0.05*0.6</f>
        <v>0.03</v>
      </c>
      <c r="J3" s="16">
        <f>0.95*0.6</f>
        <v>0.56999999999999995</v>
      </c>
    </row>
    <row r="4" spans="1:12" ht="15" customHeight="1" x14ac:dyDescent="0.25">
      <c r="A4" s="110"/>
      <c r="B4" s="101" t="s">
        <v>31</v>
      </c>
      <c r="C4" s="46" t="s">
        <v>53</v>
      </c>
      <c r="D4" s="46" t="s">
        <v>51</v>
      </c>
      <c r="E4" s="100" t="s">
        <v>52</v>
      </c>
      <c r="F4" s="7">
        <v>46.3</v>
      </c>
      <c r="G4" s="7">
        <f>202*0.15+280*0.25</f>
        <v>100.3</v>
      </c>
      <c r="H4" s="7">
        <f>22.5*0.15+8*0.25</f>
        <v>5.375</v>
      </c>
      <c r="I4" s="7">
        <f>12.5*0.15+3*0.25</f>
        <v>2.625</v>
      </c>
      <c r="J4" s="9">
        <f>0+54*0.2</f>
        <v>10.8</v>
      </c>
    </row>
    <row r="5" spans="1:12" s="45" customFormat="1" ht="15" customHeight="1" x14ac:dyDescent="0.25">
      <c r="A5" s="110"/>
      <c r="B5" s="8" t="s">
        <v>13</v>
      </c>
      <c r="C5" s="6" t="s">
        <v>56</v>
      </c>
      <c r="D5" s="6" t="s">
        <v>57</v>
      </c>
      <c r="E5" s="17">
        <v>75</v>
      </c>
      <c r="F5" s="7">
        <v>29.88</v>
      </c>
      <c r="G5" s="25">
        <f>273/75*75</f>
        <v>273</v>
      </c>
      <c r="H5" s="25">
        <f>10.11/75*75</f>
        <v>10.11</v>
      </c>
      <c r="I5" s="25">
        <f>20.87/75*75</f>
        <v>20.87</v>
      </c>
      <c r="J5" s="26">
        <f>10.64/75*75</f>
        <v>10.64</v>
      </c>
    </row>
    <row r="6" spans="1:12" s="45" customFormat="1" ht="15" customHeight="1" x14ac:dyDescent="0.25">
      <c r="A6" s="110"/>
      <c r="B6" s="8" t="s">
        <v>17</v>
      </c>
      <c r="C6" s="6" t="s">
        <v>58</v>
      </c>
      <c r="D6" s="6" t="s">
        <v>59</v>
      </c>
      <c r="E6" s="17">
        <v>130</v>
      </c>
      <c r="F6" s="7">
        <v>12.21</v>
      </c>
      <c r="G6" s="7">
        <f>1398*0.13</f>
        <v>181.74</v>
      </c>
      <c r="H6" s="7">
        <f>24.34*0.13</f>
        <v>3.1642000000000001</v>
      </c>
      <c r="I6" s="7">
        <f>35.83*0.13</f>
        <v>4.6578999999999997</v>
      </c>
      <c r="J6" s="9">
        <f>244.56*0.13</f>
        <v>31.7928</v>
      </c>
    </row>
    <row r="7" spans="1:12" s="29" customFormat="1" x14ac:dyDescent="0.25">
      <c r="A7" s="110"/>
      <c r="B7" s="8" t="s">
        <v>18</v>
      </c>
      <c r="C7" s="6" t="s">
        <v>19</v>
      </c>
      <c r="D7" s="6" t="s">
        <v>20</v>
      </c>
      <c r="E7" s="17" t="s">
        <v>34</v>
      </c>
      <c r="F7" s="7">
        <v>2.5</v>
      </c>
      <c r="G7" s="7">
        <v>60</v>
      </c>
      <c r="H7" s="7">
        <v>7.0000000000000007E-2</v>
      </c>
      <c r="I7" s="7">
        <v>0.02</v>
      </c>
      <c r="J7" s="9">
        <v>15</v>
      </c>
      <c r="K7"/>
    </row>
    <row r="8" spans="1:12" s="41" customFormat="1" ht="15.75" thickBot="1" x14ac:dyDescent="0.3">
      <c r="A8" s="112"/>
      <c r="B8" s="10" t="s">
        <v>14</v>
      </c>
      <c r="C8" s="11" t="s">
        <v>32</v>
      </c>
      <c r="D8" s="11" t="s">
        <v>33</v>
      </c>
      <c r="E8" s="18">
        <v>23.5</v>
      </c>
      <c r="F8" s="19">
        <v>1.04</v>
      </c>
      <c r="G8" s="19">
        <f>229.7*0.235</f>
        <v>53.979499999999994</v>
      </c>
      <c r="H8" s="12">
        <f>6.7*0.235</f>
        <v>1.5745</v>
      </c>
      <c r="I8" s="12">
        <f>1.1*0.235</f>
        <v>0.25850000000000001</v>
      </c>
      <c r="J8" s="13">
        <f>48.3*0.235</f>
        <v>11.350499999999998</v>
      </c>
    </row>
    <row r="9" spans="1:12" ht="16.5" thickBot="1" x14ac:dyDescent="0.3">
      <c r="A9" s="72" t="s">
        <v>15</v>
      </c>
      <c r="B9" s="77"/>
      <c r="C9" s="77"/>
      <c r="D9" s="77"/>
      <c r="E9" s="79"/>
      <c r="F9" s="99">
        <f>SUM(F3:F8)</f>
        <v>97.149999999999991</v>
      </c>
      <c r="G9" s="99">
        <f t="shared" ref="G9:J9" si="0">SUM(G3:G8)</f>
        <v>672.61950000000002</v>
      </c>
      <c r="H9" s="99">
        <f t="shared" si="0"/>
        <v>20.503700000000002</v>
      </c>
      <c r="I9" s="99">
        <f t="shared" si="0"/>
        <v>28.461400000000005</v>
      </c>
      <c r="J9" s="99">
        <f t="shared" si="0"/>
        <v>80.153300000000002</v>
      </c>
    </row>
    <row r="10" spans="1:12" ht="30" x14ac:dyDescent="0.25">
      <c r="A10" s="75" t="s">
        <v>28</v>
      </c>
      <c r="B10" s="21" t="s">
        <v>16</v>
      </c>
      <c r="C10" s="22" t="s">
        <v>42</v>
      </c>
      <c r="D10" s="22" t="s">
        <v>45</v>
      </c>
      <c r="E10" s="14" t="s">
        <v>46</v>
      </c>
      <c r="F10" s="15">
        <v>9.75</v>
      </c>
      <c r="G10" s="15">
        <f>359*0.25+162*0.1</f>
        <v>105.95</v>
      </c>
      <c r="H10" s="15">
        <f>7.06*0.25+2.6*0.1</f>
        <v>2.0249999999999999</v>
      </c>
      <c r="I10" s="15">
        <f>19.8*0.25+15*0.1</f>
        <v>6.45</v>
      </c>
      <c r="J10" s="16">
        <f>31.61*0.25+3.6*0.1</f>
        <v>8.2624999999999993</v>
      </c>
      <c r="K10"/>
    </row>
    <row r="11" spans="1:12" x14ac:dyDescent="0.25">
      <c r="A11" s="75"/>
      <c r="B11" s="8" t="s">
        <v>13</v>
      </c>
      <c r="C11" s="6" t="s">
        <v>54</v>
      </c>
      <c r="D11" s="6" t="s">
        <v>55</v>
      </c>
      <c r="E11" s="17">
        <v>22</v>
      </c>
      <c r="F11" s="7">
        <v>18.43</v>
      </c>
      <c r="G11" s="25">
        <f>129.15/50*22</f>
        <v>56.826000000000008</v>
      </c>
      <c r="H11" s="25">
        <f>17.2/50*22</f>
        <v>7.5679999999999996</v>
      </c>
      <c r="I11" s="25">
        <f>3.8/50*22</f>
        <v>1.6719999999999999</v>
      </c>
      <c r="J11" s="26">
        <f>6.6/50*22</f>
        <v>2.9039999999999999</v>
      </c>
      <c r="K11"/>
    </row>
    <row r="12" spans="1:12" s="48" customFormat="1" x14ac:dyDescent="0.25">
      <c r="A12" s="75"/>
      <c r="B12" s="8" t="s">
        <v>17</v>
      </c>
      <c r="C12" s="6" t="s">
        <v>62</v>
      </c>
      <c r="D12" s="6" t="s">
        <v>63</v>
      </c>
      <c r="E12" s="17">
        <v>100</v>
      </c>
      <c r="F12" s="7">
        <v>9.93</v>
      </c>
      <c r="G12" s="102">
        <f>89.4</f>
        <v>89.4</v>
      </c>
      <c r="H12" s="102">
        <f>1.7</f>
        <v>1.7</v>
      </c>
      <c r="I12" s="102">
        <f>3.5</f>
        <v>3.5</v>
      </c>
      <c r="J12" s="103">
        <f>12.8</f>
        <v>12.8</v>
      </c>
      <c r="K12"/>
    </row>
    <row r="13" spans="1:12" s="29" customFormat="1" x14ac:dyDescent="0.25">
      <c r="A13" s="75"/>
      <c r="B13" s="8" t="s">
        <v>18</v>
      </c>
      <c r="C13" s="6" t="s">
        <v>19</v>
      </c>
      <c r="D13" s="6" t="s">
        <v>20</v>
      </c>
      <c r="E13" s="17" t="s">
        <v>34</v>
      </c>
      <c r="F13" s="7">
        <v>2.5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75"/>
      <c r="B14" s="10" t="s">
        <v>14</v>
      </c>
      <c r="C14" s="11" t="s">
        <v>32</v>
      </c>
      <c r="D14" s="11" t="s">
        <v>33</v>
      </c>
      <c r="E14" s="18">
        <v>37.5</v>
      </c>
      <c r="F14" s="19">
        <v>1.68</v>
      </c>
      <c r="G14" s="19">
        <f>229.7*0.375</f>
        <v>86.137499999999989</v>
      </c>
      <c r="H14" s="12">
        <f>6.7*0.375</f>
        <v>2.5125000000000002</v>
      </c>
      <c r="I14" s="12">
        <f>1.1*0.375</f>
        <v>0.41250000000000003</v>
      </c>
      <c r="J14" s="13">
        <f>48.3*0.375</f>
        <v>18.112499999999997</v>
      </c>
    </row>
    <row r="15" spans="1:12" ht="16.5" thickBot="1" x14ac:dyDescent="0.3">
      <c r="A15" s="76" t="s">
        <v>15</v>
      </c>
      <c r="B15" s="77"/>
      <c r="C15" s="77"/>
      <c r="D15" s="77"/>
      <c r="E15" s="78"/>
      <c r="F15" s="20">
        <f>SUM(F10:F14)</f>
        <v>42.29</v>
      </c>
      <c r="G15" s="20">
        <f t="shared" ref="G15:J15" si="1">SUM(G10:G14)</f>
        <v>398.31350000000003</v>
      </c>
      <c r="H15" s="20">
        <f t="shared" si="1"/>
        <v>13.875499999999999</v>
      </c>
      <c r="I15" s="20">
        <f t="shared" si="1"/>
        <v>12.054499999999999</v>
      </c>
      <c r="J15" s="20">
        <f t="shared" si="1"/>
        <v>57.078999999999994</v>
      </c>
    </row>
    <row r="16" spans="1:12" s="55" customFormat="1" ht="30" x14ac:dyDescent="0.25">
      <c r="A16" s="86" t="s">
        <v>29</v>
      </c>
      <c r="B16" s="21" t="s">
        <v>16</v>
      </c>
      <c r="C16" s="22" t="s">
        <v>42</v>
      </c>
      <c r="D16" s="22" t="s">
        <v>45</v>
      </c>
      <c r="E16" s="14" t="s">
        <v>46</v>
      </c>
      <c r="F16" s="15">
        <v>9.75</v>
      </c>
      <c r="G16" s="15">
        <f>359*0.25+162*0.1</f>
        <v>105.95</v>
      </c>
      <c r="H16" s="15">
        <f>7.06*0.25+2.6*0.1</f>
        <v>2.0249999999999999</v>
      </c>
      <c r="I16" s="15">
        <f>19.8*0.25+15*0.1</f>
        <v>6.45</v>
      </c>
      <c r="J16" s="16">
        <f>31.61*0.25+3.6*0.1</f>
        <v>8.2624999999999993</v>
      </c>
    </row>
    <row r="17" spans="1:11" s="40" customFormat="1" x14ac:dyDescent="0.25">
      <c r="A17" s="87"/>
      <c r="B17" s="8" t="s">
        <v>13</v>
      </c>
      <c r="C17" s="6" t="s">
        <v>54</v>
      </c>
      <c r="D17" s="6" t="s">
        <v>55</v>
      </c>
      <c r="E17" s="17">
        <v>50</v>
      </c>
      <c r="F17" s="7">
        <v>41.88</v>
      </c>
      <c r="G17" s="25">
        <f>129.15*1</f>
        <v>129.15</v>
      </c>
      <c r="H17" s="25">
        <f>17.2*1</f>
        <v>17.2</v>
      </c>
      <c r="I17" s="25">
        <f>3.8*1</f>
        <v>3.8</v>
      </c>
      <c r="J17" s="26">
        <f>6.6*1</f>
        <v>6.6</v>
      </c>
    </row>
    <row r="18" spans="1:11" s="48" customFormat="1" x14ac:dyDescent="0.25">
      <c r="A18" s="87"/>
      <c r="B18" s="8" t="s">
        <v>17</v>
      </c>
      <c r="C18" s="6" t="s">
        <v>62</v>
      </c>
      <c r="D18" s="6" t="s">
        <v>63</v>
      </c>
      <c r="E18" s="17">
        <v>100</v>
      </c>
      <c r="F18" s="7">
        <v>9.93</v>
      </c>
      <c r="G18" s="102">
        <f>89.4</f>
        <v>89.4</v>
      </c>
      <c r="H18" s="102">
        <f>1.7</f>
        <v>1.7</v>
      </c>
      <c r="I18" s="102">
        <f>3.5</f>
        <v>3.5</v>
      </c>
      <c r="J18" s="103">
        <f>12.8</f>
        <v>12.8</v>
      </c>
      <c r="K18"/>
    </row>
    <row r="19" spans="1:11" s="55" customFormat="1" x14ac:dyDescent="0.25">
      <c r="A19" s="87"/>
      <c r="B19" s="8" t="s">
        <v>47</v>
      </c>
      <c r="C19" s="6" t="s">
        <v>48</v>
      </c>
      <c r="D19" s="6" t="s">
        <v>49</v>
      </c>
      <c r="E19" s="17">
        <v>200</v>
      </c>
      <c r="F19" s="7">
        <v>12.22</v>
      </c>
      <c r="G19" s="7">
        <f>573*0.2</f>
        <v>114.60000000000001</v>
      </c>
      <c r="H19" s="7">
        <f>0.8*0.2</f>
        <v>0.16000000000000003</v>
      </c>
      <c r="I19" s="7">
        <f>0.6*0.2</f>
        <v>0.12</v>
      </c>
      <c r="J19" s="9">
        <f>140.4*0.2</f>
        <v>28.080000000000002</v>
      </c>
      <c r="K19"/>
    </row>
    <row r="20" spans="1:11" s="37" customFormat="1" ht="15.75" x14ac:dyDescent="0.25">
      <c r="A20" s="87"/>
      <c r="B20" s="8" t="s">
        <v>21</v>
      </c>
      <c r="C20" s="46" t="s">
        <v>50</v>
      </c>
      <c r="D20" s="62" t="s">
        <v>64</v>
      </c>
      <c r="E20" s="17">
        <v>50</v>
      </c>
      <c r="F20" s="7">
        <v>21.82</v>
      </c>
      <c r="G20" s="47">
        <f>192.8/90*50</f>
        <v>107.11111111111111</v>
      </c>
      <c r="H20" s="25">
        <f>2.9/9*5</f>
        <v>1.6111111111111109</v>
      </c>
      <c r="I20" s="25">
        <f>7.6/9*5</f>
        <v>4.2222222222222223</v>
      </c>
      <c r="J20" s="26">
        <f>28.3/9*5</f>
        <v>15.722222222222221</v>
      </c>
    </row>
    <row r="21" spans="1:11" s="58" customFormat="1" ht="15.75" thickBot="1" x14ac:dyDescent="0.3">
      <c r="A21" s="87"/>
      <c r="B21" s="10" t="s">
        <v>14</v>
      </c>
      <c r="C21" s="11" t="s">
        <v>32</v>
      </c>
      <c r="D21" s="11" t="s">
        <v>33</v>
      </c>
      <c r="E21" s="18">
        <v>34.5</v>
      </c>
      <c r="F21" s="19">
        <v>1.55</v>
      </c>
      <c r="G21" s="19">
        <f>229.7*0.345</f>
        <v>79.246499999999983</v>
      </c>
      <c r="H21" s="12">
        <f>6.7*0.345</f>
        <v>2.3114999999999997</v>
      </c>
      <c r="I21" s="12">
        <f>1.1*0.345</f>
        <v>0.3795</v>
      </c>
      <c r="J21" s="13">
        <f>48.3*0.345</f>
        <v>16.663499999999999</v>
      </c>
      <c r="K21"/>
    </row>
    <row r="22" spans="1:11" s="30" customFormat="1" ht="16.5" thickBot="1" x14ac:dyDescent="0.3">
      <c r="A22" s="72" t="s">
        <v>15</v>
      </c>
      <c r="B22" s="77"/>
      <c r="C22" s="77"/>
      <c r="D22" s="77"/>
      <c r="E22" s="79"/>
      <c r="F22" s="20">
        <f>SUM(F16:F21)</f>
        <v>97.149999999999991</v>
      </c>
      <c r="G22" s="20">
        <f>SUM(G16:G21)</f>
        <v>625.45761111111108</v>
      </c>
      <c r="H22" s="20">
        <f>SUM(H16:H21)</f>
        <v>25.007611111111107</v>
      </c>
      <c r="I22" s="20">
        <f>SUM(I16:I21)</f>
        <v>18.471722222222223</v>
      </c>
      <c r="J22" s="20">
        <f>SUM(J16:J21)</f>
        <v>88.128222222222234</v>
      </c>
      <c r="K22"/>
    </row>
    <row r="23" spans="1:11" s="48" customFormat="1" ht="15.75" x14ac:dyDescent="0.25">
      <c r="A23" s="81" t="s">
        <v>30</v>
      </c>
      <c r="B23" s="57" t="s">
        <v>31</v>
      </c>
      <c r="C23" s="56" t="s">
        <v>53</v>
      </c>
      <c r="D23" s="56" t="s">
        <v>51</v>
      </c>
      <c r="E23" s="60" t="s">
        <v>67</v>
      </c>
      <c r="F23" s="15">
        <v>31.24</v>
      </c>
      <c r="G23" s="15">
        <f>202*0.1+280*0.2</f>
        <v>76.2</v>
      </c>
      <c r="H23" s="15">
        <f>22.5*0.1+8*0.2</f>
        <v>3.85</v>
      </c>
      <c r="I23" s="15">
        <f>12.5*0.1+3*0.2</f>
        <v>1.85</v>
      </c>
      <c r="J23" s="16">
        <f>0+54*0.2</f>
        <v>10.8</v>
      </c>
      <c r="K23"/>
    </row>
    <row r="24" spans="1:11" s="48" customFormat="1" x14ac:dyDescent="0.25">
      <c r="A24" s="82"/>
      <c r="B24" s="8" t="s">
        <v>18</v>
      </c>
      <c r="C24" s="6" t="s">
        <v>19</v>
      </c>
      <c r="D24" s="6" t="s">
        <v>20</v>
      </c>
      <c r="E24" s="17" t="s">
        <v>34</v>
      </c>
      <c r="F24" s="7">
        <v>2.5</v>
      </c>
      <c r="G24" s="7">
        <v>60</v>
      </c>
      <c r="H24" s="7">
        <v>7.0000000000000007E-2</v>
      </c>
      <c r="I24" s="7">
        <v>0.02</v>
      </c>
      <c r="J24" s="9">
        <v>15</v>
      </c>
      <c r="K24"/>
    </row>
    <row r="25" spans="1:11" s="48" customFormat="1" ht="15.75" thickBot="1" x14ac:dyDescent="0.3">
      <c r="A25" s="82"/>
      <c r="B25" s="10" t="s">
        <v>40</v>
      </c>
      <c r="C25" s="11" t="s">
        <v>41</v>
      </c>
      <c r="D25" s="11" t="s">
        <v>68</v>
      </c>
      <c r="E25" s="104">
        <v>36</v>
      </c>
      <c r="F25" s="12">
        <v>8.5500000000000007</v>
      </c>
      <c r="G25" s="53">
        <f>350*0.36</f>
        <v>126</v>
      </c>
      <c r="H25" s="53">
        <f>5*0.36</f>
        <v>1.7999999999999998</v>
      </c>
      <c r="I25" s="53">
        <f>6*0.36</f>
        <v>2.16</v>
      </c>
      <c r="J25" s="54">
        <f>69*0.36</f>
        <v>24.84</v>
      </c>
      <c r="K25"/>
    </row>
    <row r="26" spans="1:11" s="48" customFormat="1" ht="16.5" thickBot="1" x14ac:dyDescent="0.3">
      <c r="A26" s="83" t="s">
        <v>15</v>
      </c>
      <c r="B26" s="84"/>
      <c r="C26" s="84"/>
      <c r="D26" s="84"/>
      <c r="E26" s="85"/>
      <c r="F26" s="3">
        <f>SUM(F23:F25)</f>
        <v>42.289999999999992</v>
      </c>
      <c r="G26" s="3">
        <f>SUM(G23:G25)</f>
        <v>262.2</v>
      </c>
      <c r="H26" s="3">
        <f>SUM(H23:H25)</f>
        <v>5.72</v>
      </c>
      <c r="I26" s="3">
        <f>SUM(I23:I25)</f>
        <v>4.03</v>
      </c>
      <c r="J26" s="3">
        <f>SUM(J23:J25)</f>
        <v>50.64</v>
      </c>
      <c r="K26"/>
    </row>
    <row r="28" spans="1:11" ht="15.75" thickBot="1" x14ac:dyDescent="0.3">
      <c r="A28" s="70" t="s">
        <v>25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1" ht="15.75" x14ac:dyDescent="0.25">
      <c r="A29" s="24"/>
      <c r="B29" s="24"/>
      <c r="C29" s="69" t="s">
        <v>23</v>
      </c>
      <c r="D29" s="69"/>
      <c r="G29" s="71"/>
      <c r="H29" s="71"/>
      <c r="I29" s="71"/>
      <c r="J29" s="71"/>
    </row>
    <row r="30" spans="1:11" x14ac:dyDescent="0.25">
      <c r="A30" s="1"/>
      <c r="B30" s="1"/>
      <c r="C30" s="1"/>
      <c r="D30" s="1"/>
    </row>
    <row r="31" spans="1:11" x14ac:dyDescent="0.25">
      <c r="A31" s="80" t="s">
        <v>24</v>
      </c>
      <c r="B31" s="80"/>
    </row>
    <row r="32" spans="1:11" x14ac:dyDescent="0.25">
      <c r="A32" s="80" t="s">
        <v>26</v>
      </c>
      <c r="B32" s="80"/>
    </row>
    <row r="33" spans="1:1" x14ac:dyDescent="0.25">
      <c r="A33" s="4"/>
    </row>
  </sheetData>
  <mergeCells count="15">
    <mergeCell ref="A31:B31"/>
    <mergeCell ref="A32:B32"/>
    <mergeCell ref="A23:A25"/>
    <mergeCell ref="A26:E26"/>
    <mergeCell ref="A16:A21"/>
    <mergeCell ref="B1:C1"/>
    <mergeCell ref="G1:J1"/>
    <mergeCell ref="C29:D29"/>
    <mergeCell ref="A28:J28"/>
    <mergeCell ref="G29:J29"/>
    <mergeCell ref="A9:E9"/>
    <mergeCell ref="A10:A14"/>
    <mergeCell ref="A15:E15"/>
    <mergeCell ref="A22:E22"/>
    <mergeCell ref="A3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K29" sqref="K29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9" t="s">
        <v>22</v>
      </c>
      <c r="C1" s="90"/>
      <c r="D1" s="1" t="s">
        <v>1</v>
      </c>
      <c r="E1" s="27"/>
      <c r="F1" s="1" t="s">
        <v>2</v>
      </c>
      <c r="G1" s="66">
        <v>44817</v>
      </c>
      <c r="H1" s="67"/>
      <c r="I1" s="67"/>
      <c r="J1" s="68"/>
      <c r="K1" s="1"/>
      <c r="L1" s="1"/>
    </row>
    <row r="2" spans="1:12" ht="15.75" thickBot="1" x14ac:dyDescent="0.3">
      <c r="A2" s="34" t="s">
        <v>3</v>
      </c>
      <c r="B2" s="42" t="s">
        <v>4</v>
      </c>
      <c r="C2" s="43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4" t="s">
        <v>12</v>
      </c>
    </row>
    <row r="3" spans="1:12" s="61" customFormat="1" x14ac:dyDescent="0.25">
      <c r="A3" s="109" t="s">
        <v>35</v>
      </c>
      <c r="B3" s="21" t="s">
        <v>31</v>
      </c>
      <c r="C3" s="22" t="s">
        <v>43</v>
      </c>
      <c r="D3" s="22" t="s">
        <v>44</v>
      </c>
      <c r="E3" s="14">
        <v>30</v>
      </c>
      <c r="F3" s="15">
        <v>5.22</v>
      </c>
      <c r="G3" s="15">
        <f>6*0.6</f>
        <v>3.5999999999999996</v>
      </c>
      <c r="H3" s="15">
        <f>0.35*0.6</f>
        <v>0.21</v>
      </c>
      <c r="I3" s="15">
        <f>0.05*0.6</f>
        <v>0.03</v>
      </c>
      <c r="J3" s="16">
        <f>0.95*0.6</f>
        <v>0.56999999999999995</v>
      </c>
    </row>
    <row r="4" spans="1:12" x14ac:dyDescent="0.25">
      <c r="A4" s="110"/>
      <c r="B4" s="107" t="s">
        <v>31</v>
      </c>
      <c r="C4" s="46" t="s">
        <v>65</v>
      </c>
      <c r="D4" s="105" t="s">
        <v>66</v>
      </c>
      <c r="E4" s="100" t="s">
        <v>69</v>
      </c>
      <c r="F4" s="17">
        <v>23.84</v>
      </c>
      <c r="G4" s="7">
        <f>364*0.15+660*0.05+280*0.25</f>
        <v>157.6</v>
      </c>
      <c r="H4" s="106">
        <f>23.2*0.15+0.8*0.05+8*0.25</f>
        <v>5.52</v>
      </c>
      <c r="I4" s="106">
        <f>29.5*0.15+72.5*0.05+3*0.25</f>
        <v>8.8000000000000007</v>
      </c>
      <c r="J4" s="108">
        <f>0+1.3*0.05+54*0.25</f>
        <v>13.565</v>
      </c>
    </row>
    <row r="5" spans="1:12" s="41" customFormat="1" x14ac:dyDescent="0.25">
      <c r="A5" s="110"/>
      <c r="B5" s="8" t="s">
        <v>13</v>
      </c>
      <c r="C5" s="6" t="s">
        <v>56</v>
      </c>
      <c r="D5" s="6" t="s">
        <v>57</v>
      </c>
      <c r="E5" s="17">
        <v>60</v>
      </c>
      <c r="F5" s="7">
        <v>23.42</v>
      </c>
      <c r="G5" s="25">
        <f>273/75*60</f>
        <v>218.4</v>
      </c>
      <c r="H5" s="25">
        <f>10.11/75*60</f>
        <v>8.088000000000001</v>
      </c>
      <c r="I5" s="25">
        <f>20.87/75*60</f>
        <v>16.695999999999998</v>
      </c>
      <c r="J5" s="26">
        <f>10.64/75*60</f>
        <v>8.5120000000000005</v>
      </c>
    </row>
    <row r="6" spans="1:12" s="45" customFormat="1" x14ac:dyDescent="0.25">
      <c r="A6" s="110"/>
      <c r="B6" s="8" t="s">
        <v>17</v>
      </c>
      <c r="C6" s="6" t="s">
        <v>58</v>
      </c>
      <c r="D6" s="6" t="s">
        <v>59</v>
      </c>
      <c r="E6" s="17">
        <v>150</v>
      </c>
      <c r="F6" s="7">
        <v>14.09</v>
      </c>
      <c r="G6" s="7">
        <f>1398*0.15</f>
        <v>209.7</v>
      </c>
      <c r="H6" s="7">
        <f>24.34*0.15</f>
        <v>3.6509999999999998</v>
      </c>
      <c r="I6" s="7">
        <f>35.83*0.15</f>
        <v>5.3744999999999994</v>
      </c>
      <c r="J6" s="9">
        <f>244.56*0.15</f>
        <v>36.683999999999997</v>
      </c>
    </row>
    <row r="7" spans="1:12" x14ac:dyDescent="0.25">
      <c r="A7" s="110"/>
      <c r="B7" s="8" t="s">
        <v>18</v>
      </c>
      <c r="C7" s="6" t="s">
        <v>19</v>
      </c>
      <c r="D7" s="6" t="s">
        <v>20</v>
      </c>
      <c r="E7" s="17" t="s">
        <v>34</v>
      </c>
      <c r="F7" s="7">
        <v>2.5</v>
      </c>
      <c r="G7" s="7">
        <v>60</v>
      </c>
      <c r="H7" s="7">
        <v>7.0000000000000007E-2</v>
      </c>
      <c r="I7" s="7">
        <v>0.02</v>
      </c>
      <c r="J7" s="9">
        <v>15</v>
      </c>
    </row>
    <row r="8" spans="1:12" ht="15.75" thickBot="1" x14ac:dyDescent="0.3">
      <c r="A8" s="111"/>
      <c r="B8" s="10" t="s">
        <v>14</v>
      </c>
      <c r="C8" s="11" t="s">
        <v>32</v>
      </c>
      <c r="D8" s="11" t="s">
        <v>33</v>
      </c>
      <c r="E8" s="18">
        <v>10</v>
      </c>
      <c r="F8" s="19">
        <v>0.43</v>
      </c>
      <c r="G8" s="19">
        <f>229.7*0.1</f>
        <v>22.97</v>
      </c>
      <c r="H8" s="12">
        <f>6.7*0.1</f>
        <v>0.67</v>
      </c>
      <c r="I8" s="12">
        <f>1.1*0.1</f>
        <v>0.11000000000000001</v>
      </c>
      <c r="J8" s="13">
        <f>48.3*0.1</f>
        <v>4.83</v>
      </c>
    </row>
    <row r="9" spans="1:12" ht="16.5" thickBot="1" x14ac:dyDescent="0.3">
      <c r="A9" s="91" t="s">
        <v>15</v>
      </c>
      <c r="B9" s="77"/>
      <c r="C9" s="77"/>
      <c r="D9" s="77"/>
      <c r="E9" s="78"/>
      <c r="F9" s="20">
        <f>SUM(F3:F8)</f>
        <v>69.500000000000014</v>
      </c>
      <c r="G9" s="20">
        <f t="shared" ref="G9:J9" si="0">SUM(G3:G8)</f>
        <v>672.27</v>
      </c>
      <c r="H9" s="20">
        <f t="shared" si="0"/>
        <v>18.209000000000003</v>
      </c>
      <c r="I9" s="20">
        <f t="shared" si="0"/>
        <v>31.030499999999993</v>
      </c>
      <c r="J9" s="20">
        <f t="shared" si="0"/>
        <v>79.160999999999987</v>
      </c>
    </row>
    <row r="10" spans="1:12" s="28" customFormat="1" x14ac:dyDescent="0.25">
      <c r="A10" s="92" t="s">
        <v>36</v>
      </c>
      <c r="B10" s="21" t="s">
        <v>13</v>
      </c>
      <c r="C10" s="22" t="s">
        <v>56</v>
      </c>
      <c r="D10" s="22" t="s">
        <v>57</v>
      </c>
      <c r="E10" s="14">
        <v>37</v>
      </c>
      <c r="F10" s="15">
        <v>14.44</v>
      </c>
      <c r="G10" s="31">
        <f>273/75*37</f>
        <v>134.68</v>
      </c>
      <c r="H10" s="31">
        <f>10.11/75*37</f>
        <v>4.9876000000000005</v>
      </c>
      <c r="I10" s="31">
        <f>20.87/75*37</f>
        <v>10.295866666666667</v>
      </c>
      <c r="J10" s="32">
        <f>10.64/75*37</f>
        <v>5.2490666666666668</v>
      </c>
      <c r="K10"/>
    </row>
    <row r="11" spans="1:12" s="61" customFormat="1" x14ac:dyDescent="0.25">
      <c r="A11" s="93"/>
      <c r="B11" s="8" t="s">
        <v>17</v>
      </c>
      <c r="C11" s="6" t="s">
        <v>58</v>
      </c>
      <c r="D11" s="6" t="s">
        <v>59</v>
      </c>
      <c r="E11" s="17">
        <v>100</v>
      </c>
      <c r="F11" s="7">
        <v>9.39</v>
      </c>
      <c r="G11" s="7">
        <f>1398*0.1</f>
        <v>139.80000000000001</v>
      </c>
      <c r="H11" s="7">
        <f>24.34*0.1</f>
        <v>2.4340000000000002</v>
      </c>
      <c r="I11" s="7">
        <f>35.83*0.1</f>
        <v>3.5830000000000002</v>
      </c>
      <c r="J11" s="9">
        <f>244.56*0.1</f>
        <v>24.456000000000003</v>
      </c>
      <c r="K11"/>
    </row>
    <row r="12" spans="1:12" s="28" customFormat="1" x14ac:dyDescent="0.25">
      <c r="A12" s="93"/>
      <c r="B12" s="8" t="s">
        <v>18</v>
      </c>
      <c r="C12" s="6" t="s">
        <v>19</v>
      </c>
      <c r="D12" s="6" t="s">
        <v>20</v>
      </c>
      <c r="E12" s="17" t="s">
        <v>34</v>
      </c>
      <c r="F12" s="7">
        <v>2.5</v>
      </c>
      <c r="G12" s="7">
        <v>60</v>
      </c>
      <c r="H12" s="7">
        <v>7.0000000000000007E-2</v>
      </c>
      <c r="I12" s="7">
        <v>0.02</v>
      </c>
      <c r="J12" s="9">
        <v>15</v>
      </c>
    </row>
    <row r="13" spans="1:12" s="30" customFormat="1" ht="15.75" thickBot="1" x14ac:dyDescent="0.3">
      <c r="A13" s="94"/>
      <c r="B13" s="10" t="s">
        <v>14</v>
      </c>
      <c r="C13" s="11" t="s">
        <v>32</v>
      </c>
      <c r="D13" s="11" t="s">
        <v>33</v>
      </c>
      <c r="E13" s="18">
        <v>15</v>
      </c>
      <c r="F13" s="19">
        <v>0.67</v>
      </c>
      <c r="G13" s="19">
        <f>229.7*0.15</f>
        <v>34.454999999999998</v>
      </c>
      <c r="H13" s="12">
        <f>6.7*0.15</f>
        <v>1.0049999999999999</v>
      </c>
      <c r="I13" s="12">
        <f>1.1*0.15</f>
        <v>0.16500000000000001</v>
      </c>
      <c r="J13" s="13">
        <f>48.3*0.15</f>
        <v>7.2449999999999992</v>
      </c>
    </row>
    <row r="14" spans="1:12" ht="16.5" thickBot="1" x14ac:dyDescent="0.3">
      <c r="A14" s="95" t="s">
        <v>15</v>
      </c>
      <c r="B14" s="77"/>
      <c r="C14" s="77"/>
      <c r="D14" s="77"/>
      <c r="E14" s="78"/>
      <c r="F14" s="20">
        <f>SUM(F10:F13)</f>
        <v>27</v>
      </c>
      <c r="G14" s="20">
        <f>SUM(G10:G13)</f>
        <v>368.935</v>
      </c>
      <c r="H14" s="20">
        <f>SUM(H10:H13)</f>
        <v>8.4966000000000008</v>
      </c>
      <c r="I14" s="20">
        <f>SUM(I10:I13)</f>
        <v>14.063866666666666</v>
      </c>
      <c r="J14" s="20">
        <f>SUM(J10:J13)</f>
        <v>51.950066666666665</v>
      </c>
    </row>
    <row r="15" spans="1:12" s="29" customFormat="1" x14ac:dyDescent="0.25">
      <c r="A15" s="86" t="s">
        <v>37</v>
      </c>
      <c r="B15" s="21" t="s">
        <v>31</v>
      </c>
      <c r="C15" s="22" t="s">
        <v>72</v>
      </c>
      <c r="D15" s="22" t="s">
        <v>71</v>
      </c>
      <c r="E15" s="14" t="s">
        <v>70</v>
      </c>
      <c r="F15" s="15">
        <v>4.5</v>
      </c>
      <c r="G15" s="15">
        <f>250*0.2+229.7*0.36</f>
        <v>132.69200000000001</v>
      </c>
      <c r="H15" s="15">
        <f>0.4*0.2+6.7*0.36</f>
        <v>2.492</v>
      </c>
      <c r="I15" s="15">
        <f>0+1.1*0.36</f>
        <v>0.39600000000000002</v>
      </c>
      <c r="J15" s="16">
        <f>65*0.2+48.3*0.36</f>
        <v>30.387999999999998</v>
      </c>
    </row>
    <row r="16" spans="1:12" s="29" customFormat="1" ht="15.75" thickBot="1" x14ac:dyDescent="0.3">
      <c r="A16" s="88"/>
      <c r="B16" s="10" t="s">
        <v>18</v>
      </c>
      <c r="C16" s="11" t="s">
        <v>19</v>
      </c>
      <c r="D16" s="11" t="s">
        <v>20</v>
      </c>
      <c r="E16" s="18" t="s">
        <v>34</v>
      </c>
      <c r="F16" s="19">
        <v>2.5</v>
      </c>
      <c r="G16" s="19">
        <v>60</v>
      </c>
      <c r="H16" s="19">
        <v>7.0000000000000007E-2</v>
      </c>
      <c r="I16" s="19">
        <v>0.02</v>
      </c>
      <c r="J16" s="33">
        <v>15</v>
      </c>
    </row>
    <row r="17" spans="1:10" ht="16.5" thickBot="1" x14ac:dyDescent="0.3">
      <c r="A17" s="72" t="s">
        <v>15</v>
      </c>
      <c r="B17" s="73"/>
      <c r="C17" s="73"/>
      <c r="D17" s="73"/>
      <c r="E17" s="74"/>
      <c r="F17" s="20">
        <f>SUM(F15:F16)</f>
        <v>7</v>
      </c>
      <c r="G17" s="20">
        <f>SUM(G15:G16)</f>
        <v>192.69200000000001</v>
      </c>
      <c r="H17" s="20">
        <f t="shared" ref="H17:J17" si="1">SUM(H15:H16)</f>
        <v>2.5619999999999998</v>
      </c>
      <c r="I17" s="20">
        <f t="shared" si="1"/>
        <v>0.41600000000000004</v>
      </c>
      <c r="J17" s="20">
        <f t="shared" si="1"/>
        <v>45.387999999999998</v>
      </c>
    </row>
    <row r="18" spans="1:10" ht="30" x14ac:dyDescent="0.25">
      <c r="A18" s="75" t="s">
        <v>38</v>
      </c>
      <c r="B18" s="21" t="s">
        <v>16</v>
      </c>
      <c r="C18" s="22" t="s">
        <v>42</v>
      </c>
      <c r="D18" s="22" t="s">
        <v>45</v>
      </c>
      <c r="E18" s="14" t="s">
        <v>46</v>
      </c>
      <c r="F18" s="15">
        <v>9.75</v>
      </c>
      <c r="G18" s="15">
        <f>359*0.25+162*0.1</f>
        <v>105.95</v>
      </c>
      <c r="H18" s="15">
        <f>7.06*0.25+2.6*0.1</f>
        <v>2.0249999999999999</v>
      </c>
      <c r="I18" s="15">
        <f>19.8*0.25+15*0.1</f>
        <v>6.45</v>
      </c>
      <c r="J18" s="16">
        <f>31.61*0.25+3.6*0.1</f>
        <v>8.2624999999999993</v>
      </c>
    </row>
    <row r="19" spans="1:10" s="59" customFormat="1" x14ac:dyDescent="0.25">
      <c r="A19" s="75"/>
      <c r="B19" s="8" t="s">
        <v>13</v>
      </c>
      <c r="C19" s="6" t="s">
        <v>54</v>
      </c>
      <c r="D19" s="6" t="s">
        <v>55</v>
      </c>
      <c r="E19" s="17">
        <v>50</v>
      </c>
      <c r="F19" s="7">
        <v>41.88</v>
      </c>
      <c r="G19" s="25">
        <f>129.15*1</f>
        <v>129.15</v>
      </c>
      <c r="H19" s="25">
        <f>17.2*1</f>
        <v>17.2</v>
      </c>
      <c r="I19" s="25">
        <f>3.8*1</f>
        <v>3.8</v>
      </c>
      <c r="J19" s="26">
        <f>6.6*1</f>
        <v>6.6</v>
      </c>
    </row>
    <row r="20" spans="1:10" s="55" customFormat="1" x14ac:dyDescent="0.25">
      <c r="A20" s="75"/>
      <c r="B20" s="8" t="s">
        <v>17</v>
      </c>
      <c r="C20" s="6" t="s">
        <v>62</v>
      </c>
      <c r="D20" s="6" t="s">
        <v>63</v>
      </c>
      <c r="E20" s="17">
        <v>100</v>
      </c>
      <c r="F20" s="7">
        <v>9.93</v>
      </c>
      <c r="G20" s="102">
        <f>89.4</f>
        <v>89.4</v>
      </c>
      <c r="H20" s="102">
        <f>1.7</f>
        <v>1.7</v>
      </c>
      <c r="I20" s="102">
        <f>3.5</f>
        <v>3.5</v>
      </c>
      <c r="J20" s="103">
        <f>12.8</f>
        <v>12.8</v>
      </c>
    </row>
    <row r="21" spans="1:10" x14ac:dyDescent="0.25">
      <c r="A21" s="75"/>
      <c r="B21" s="8" t="s">
        <v>18</v>
      </c>
      <c r="C21" s="6" t="s">
        <v>19</v>
      </c>
      <c r="D21" s="6" t="s">
        <v>20</v>
      </c>
      <c r="E21" s="17" t="s">
        <v>34</v>
      </c>
      <c r="F21" s="7">
        <v>2.5</v>
      </c>
      <c r="G21" s="7">
        <v>60</v>
      </c>
      <c r="H21" s="7">
        <v>7.0000000000000007E-2</v>
      </c>
      <c r="I21" s="7">
        <v>0.02</v>
      </c>
      <c r="J21" s="9">
        <v>15</v>
      </c>
    </row>
    <row r="22" spans="1:10" s="29" customFormat="1" ht="15.75" x14ac:dyDescent="0.25">
      <c r="A22" s="75"/>
      <c r="B22" s="49" t="s">
        <v>21</v>
      </c>
      <c r="C22" s="50" t="s">
        <v>60</v>
      </c>
      <c r="D22" s="63" t="s">
        <v>61</v>
      </c>
      <c r="E22" s="51">
        <v>50</v>
      </c>
      <c r="F22" s="52">
        <v>3.98</v>
      </c>
      <c r="G22" s="52">
        <v>160.5</v>
      </c>
      <c r="H22" s="47">
        <v>3.39</v>
      </c>
      <c r="I22" s="47">
        <v>6.98</v>
      </c>
      <c r="J22" s="47">
        <v>21.07</v>
      </c>
    </row>
    <row r="23" spans="1:10" ht="15.75" thickBot="1" x14ac:dyDescent="0.3">
      <c r="A23" s="75"/>
      <c r="B23" s="10" t="s">
        <v>14</v>
      </c>
      <c r="C23" s="11" t="s">
        <v>32</v>
      </c>
      <c r="D23" s="11" t="s">
        <v>33</v>
      </c>
      <c r="E23" s="18">
        <v>32.5</v>
      </c>
      <c r="F23" s="19">
        <v>1.46</v>
      </c>
      <c r="G23" s="19">
        <f>229.7*0.325</f>
        <v>74.652500000000003</v>
      </c>
      <c r="H23" s="12">
        <f>6.7*0.325</f>
        <v>2.1775000000000002</v>
      </c>
      <c r="I23" s="12">
        <f>1.1*0.325</f>
        <v>0.35750000000000004</v>
      </c>
      <c r="J23" s="13">
        <f>48.3*0.325</f>
        <v>15.6975</v>
      </c>
    </row>
    <row r="24" spans="1:10" ht="16.5" thickBot="1" x14ac:dyDescent="0.3">
      <c r="A24" s="72" t="s">
        <v>15</v>
      </c>
      <c r="B24" s="97"/>
      <c r="C24" s="97"/>
      <c r="D24" s="97"/>
      <c r="E24" s="98"/>
      <c r="F24" s="23">
        <f>SUM(F18:F23)</f>
        <v>69.5</v>
      </c>
      <c r="G24" s="23">
        <f>SUM(G18:G23)</f>
        <v>619.65250000000003</v>
      </c>
      <c r="H24" s="23">
        <f>SUM(H18:H23)</f>
        <v>26.5625</v>
      </c>
      <c r="I24" s="23">
        <f>SUM(I18:I23)</f>
        <v>21.107500000000002</v>
      </c>
      <c r="J24" s="23">
        <f>SUM(J18:J23)</f>
        <v>79.430000000000007</v>
      </c>
    </row>
    <row r="25" spans="1:10" s="38" customFormat="1" ht="30" x14ac:dyDescent="0.25">
      <c r="A25" s="96" t="s">
        <v>39</v>
      </c>
      <c r="B25" s="21" t="s">
        <v>16</v>
      </c>
      <c r="C25" s="22" t="s">
        <v>42</v>
      </c>
      <c r="D25" s="22" t="s">
        <v>45</v>
      </c>
      <c r="E25" s="14" t="s">
        <v>46</v>
      </c>
      <c r="F25" s="15">
        <v>9.75</v>
      </c>
      <c r="G25" s="15">
        <f>359*0.25+162*0.1</f>
        <v>105.95</v>
      </c>
      <c r="H25" s="15">
        <f>7.06*0.25+2.6*0.1</f>
        <v>2.0249999999999999</v>
      </c>
      <c r="I25" s="15">
        <f>19.8*0.25+15*0.1</f>
        <v>6.45</v>
      </c>
      <c r="J25" s="16">
        <f>31.61*0.25+3.6*0.1</f>
        <v>8.2624999999999993</v>
      </c>
    </row>
    <row r="26" spans="1:10" x14ac:dyDescent="0.25">
      <c r="A26" s="96"/>
      <c r="B26" s="8" t="s">
        <v>13</v>
      </c>
      <c r="C26" s="6" t="s">
        <v>54</v>
      </c>
      <c r="D26" s="6" t="s">
        <v>55</v>
      </c>
      <c r="E26" s="17">
        <v>25</v>
      </c>
      <c r="F26" s="7">
        <v>20.94</v>
      </c>
      <c r="G26" s="25">
        <f>129.15/50*25</f>
        <v>64.575000000000003</v>
      </c>
      <c r="H26" s="25">
        <f>17.2/50*25</f>
        <v>8.6</v>
      </c>
      <c r="I26" s="25">
        <f>3.8/50*25</f>
        <v>1.9</v>
      </c>
      <c r="J26" s="26">
        <f>6.6/50*25</f>
        <v>3.3000000000000003</v>
      </c>
    </row>
    <row r="27" spans="1:10" s="55" customFormat="1" x14ac:dyDescent="0.25">
      <c r="A27" s="96"/>
      <c r="B27" s="8" t="s">
        <v>17</v>
      </c>
      <c r="C27" s="6" t="s">
        <v>62</v>
      </c>
      <c r="D27" s="6" t="s">
        <v>63</v>
      </c>
      <c r="E27" s="17">
        <v>100</v>
      </c>
      <c r="F27" s="7">
        <v>9.93</v>
      </c>
      <c r="G27" s="102">
        <f>89.4</f>
        <v>89.4</v>
      </c>
      <c r="H27" s="102">
        <f>1.7</f>
        <v>1.7</v>
      </c>
      <c r="I27" s="102">
        <f>3.5</f>
        <v>3.5</v>
      </c>
      <c r="J27" s="103">
        <f>12.8</f>
        <v>12.8</v>
      </c>
    </row>
    <row r="28" spans="1:10" x14ac:dyDescent="0.25">
      <c r="A28" s="96"/>
      <c r="B28" s="8" t="s">
        <v>18</v>
      </c>
      <c r="C28" s="6" t="s">
        <v>19</v>
      </c>
      <c r="D28" s="6" t="s">
        <v>20</v>
      </c>
      <c r="E28" s="17" t="s">
        <v>34</v>
      </c>
      <c r="F28" s="7">
        <v>2.5</v>
      </c>
      <c r="G28" s="7">
        <v>60</v>
      </c>
      <c r="H28" s="7">
        <v>7.0000000000000007E-2</v>
      </c>
      <c r="I28" s="7">
        <v>0.02</v>
      </c>
      <c r="J28" s="9">
        <v>15</v>
      </c>
    </row>
    <row r="29" spans="1:10" ht="15.75" thickBot="1" x14ac:dyDescent="0.3">
      <c r="A29" s="96"/>
      <c r="B29" s="10" t="s">
        <v>14</v>
      </c>
      <c r="C29" s="11" t="s">
        <v>32</v>
      </c>
      <c r="D29" s="11" t="s">
        <v>33</v>
      </c>
      <c r="E29" s="18">
        <v>42</v>
      </c>
      <c r="F29" s="19">
        <v>1.88</v>
      </c>
      <c r="G29" s="19">
        <f>229.7*0.42</f>
        <v>96.47399999999999</v>
      </c>
      <c r="H29" s="12">
        <f>6.7*0.42</f>
        <v>2.8140000000000001</v>
      </c>
      <c r="I29" s="12">
        <f>1.1*0.42</f>
        <v>0.46200000000000002</v>
      </c>
      <c r="J29" s="13">
        <f>48.3*0.42</f>
        <v>20.285999999999998</v>
      </c>
    </row>
    <row r="30" spans="1:10" ht="16.5" thickBot="1" x14ac:dyDescent="0.3">
      <c r="A30" s="72" t="s">
        <v>15</v>
      </c>
      <c r="B30" s="97"/>
      <c r="C30" s="97"/>
      <c r="D30" s="97"/>
      <c r="E30" s="98"/>
      <c r="F30" s="23">
        <f>SUM(F25:F29)</f>
        <v>45.000000000000007</v>
      </c>
      <c r="G30" s="23">
        <f>SUM(G25:G29)</f>
        <v>416.399</v>
      </c>
      <c r="H30" s="23">
        <f>SUM(H25:H29)</f>
        <v>15.209</v>
      </c>
      <c r="I30" s="23">
        <f>SUM(I25:I29)</f>
        <v>12.331999999999999</v>
      </c>
      <c r="J30" s="23">
        <f>SUM(J25:J29)</f>
        <v>59.648499999999999</v>
      </c>
    </row>
    <row r="32" spans="1:10" ht="15.75" thickBot="1" x14ac:dyDescent="0.3">
      <c r="A32" s="70" t="s">
        <v>25</v>
      </c>
      <c r="B32" s="70"/>
      <c r="C32" s="70"/>
      <c r="D32" s="70"/>
      <c r="E32" s="70"/>
      <c r="F32" s="70"/>
      <c r="G32" s="70"/>
      <c r="H32" s="70"/>
      <c r="I32" s="70"/>
      <c r="J32" s="70"/>
    </row>
    <row r="33" spans="1:10" ht="15.75" x14ac:dyDescent="0.25">
      <c r="A33" s="24"/>
      <c r="B33" s="24"/>
      <c r="C33" s="69" t="s">
        <v>23</v>
      </c>
      <c r="D33" s="69"/>
      <c r="G33" s="71"/>
      <c r="H33" s="71"/>
      <c r="I33" s="71"/>
      <c r="J33" s="71"/>
    </row>
    <row r="34" spans="1:10" x14ac:dyDescent="0.25">
      <c r="A34" s="1"/>
      <c r="B34" s="1"/>
      <c r="C34" s="1"/>
      <c r="D34" s="1"/>
    </row>
    <row r="35" spans="1:10" x14ac:dyDescent="0.25">
      <c r="A35" s="80" t="s">
        <v>24</v>
      </c>
      <c r="B35" s="80"/>
    </row>
    <row r="36" spans="1:10" x14ac:dyDescent="0.25">
      <c r="A36" s="80" t="s">
        <v>26</v>
      </c>
      <c r="B36" s="80"/>
    </row>
    <row r="37" spans="1:10" x14ac:dyDescent="0.25">
      <c r="A37" s="4"/>
    </row>
  </sheetData>
  <mergeCells count="17">
    <mergeCell ref="A35:B35"/>
    <mergeCell ref="A36:B36"/>
    <mergeCell ref="A10:A13"/>
    <mergeCell ref="A14:E14"/>
    <mergeCell ref="A15:A16"/>
    <mergeCell ref="A17:E17"/>
    <mergeCell ref="A25:A29"/>
    <mergeCell ref="A30:E30"/>
    <mergeCell ref="A32:J32"/>
    <mergeCell ref="C33:D33"/>
    <mergeCell ref="G33:J33"/>
    <mergeCell ref="A24:E24"/>
    <mergeCell ref="B1:C1"/>
    <mergeCell ref="G1:J1"/>
    <mergeCell ref="A9:E9"/>
    <mergeCell ref="A18:A23"/>
    <mergeCell ref="A3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2022-09-12T11:49:14Z</dcterms:modified>
</cp:coreProperties>
</file>