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 activeTab="1"/>
  </bookViews>
  <sheets>
    <sheet name="1-4 кл" sheetId="1" r:id="rId1"/>
    <sheet name="5-11 кл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2" l="1"/>
  <c r="I29" i="2"/>
  <c r="H29" i="2"/>
  <c r="G29" i="2"/>
  <c r="J26" i="2"/>
  <c r="I26" i="2"/>
  <c r="H26" i="2"/>
  <c r="G26" i="2"/>
  <c r="J27" i="2"/>
  <c r="I27" i="2"/>
  <c r="H27" i="2"/>
  <c r="G27" i="2"/>
  <c r="J25" i="2"/>
  <c r="I25" i="2"/>
  <c r="H25" i="2"/>
  <c r="G25" i="2"/>
  <c r="J22" i="2"/>
  <c r="I22" i="2"/>
  <c r="H22" i="2"/>
  <c r="G22" i="2"/>
  <c r="J19" i="2"/>
  <c r="I19" i="2"/>
  <c r="H19" i="2"/>
  <c r="G19" i="2"/>
  <c r="J23" i="2"/>
  <c r="I23" i="2"/>
  <c r="H23" i="2"/>
  <c r="G23" i="2"/>
  <c r="J18" i="2"/>
  <c r="I18" i="2"/>
  <c r="H18" i="2"/>
  <c r="G18" i="2"/>
  <c r="J17" i="2"/>
  <c r="I17" i="2"/>
  <c r="H17" i="2"/>
  <c r="G17" i="2"/>
  <c r="J14" i="2"/>
  <c r="I14" i="2"/>
  <c r="H14" i="2"/>
  <c r="G14" i="2"/>
  <c r="J12" i="2"/>
  <c r="I12" i="2"/>
  <c r="H12" i="2"/>
  <c r="G12" i="2"/>
  <c r="J9" i="2"/>
  <c r="I9" i="2"/>
  <c r="H9" i="2"/>
  <c r="G9" i="2"/>
  <c r="J10" i="2" l="1"/>
  <c r="I10" i="2"/>
  <c r="H10" i="2"/>
  <c r="G10" i="2"/>
  <c r="J7" i="2"/>
  <c r="I7" i="2"/>
  <c r="H7" i="2"/>
  <c r="G7" i="2"/>
  <c r="J6" i="2"/>
  <c r="I6" i="2"/>
  <c r="H6" i="2"/>
  <c r="G6" i="2"/>
  <c r="J4" i="2"/>
  <c r="I4" i="2"/>
  <c r="H4" i="2"/>
  <c r="G4" i="2"/>
  <c r="J5" i="2"/>
  <c r="I5" i="2"/>
  <c r="H5" i="2"/>
  <c r="G5" i="2"/>
  <c r="J21" i="1"/>
  <c r="I21" i="1"/>
  <c r="H21" i="1"/>
  <c r="G21" i="1"/>
  <c r="J14" i="1"/>
  <c r="I14" i="1"/>
  <c r="H14" i="1"/>
  <c r="G14" i="1"/>
  <c r="J18" i="1"/>
  <c r="I18" i="1"/>
  <c r="H18" i="1"/>
  <c r="G18" i="1"/>
  <c r="J8" i="1"/>
  <c r="I8" i="1"/>
  <c r="H8" i="1"/>
  <c r="G8" i="1"/>
  <c r="J7" i="1"/>
  <c r="I7" i="1"/>
  <c r="H7" i="1"/>
  <c r="G7" i="1"/>
  <c r="J4" i="1"/>
  <c r="I4" i="1"/>
  <c r="H4" i="1"/>
  <c r="G4" i="1"/>
  <c r="F9" i="1"/>
  <c r="J5" i="1" l="1"/>
  <c r="I5" i="1"/>
  <c r="H5" i="1"/>
  <c r="G5" i="1"/>
  <c r="J11" i="1"/>
  <c r="I11" i="1"/>
  <c r="H11" i="1"/>
  <c r="G11" i="1"/>
  <c r="J25" i="1" l="1"/>
  <c r="I25" i="1"/>
  <c r="H25" i="1"/>
  <c r="G25" i="1"/>
  <c r="J17" i="1"/>
  <c r="I17" i="1"/>
  <c r="H17" i="1"/>
  <c r="G17" i="1"/>
  <c r="J10" i="1"/>
  <c r="I10" i="1"/>
  <c r="H10" i="1"/>
  <c r="G10" i="1"/>
  <c r="J19" i="1" l="1"/>
  <c r="I19" i="1"/>
  <c r="H19" i="1"/>
  <c r="G19" i="1"/>
  <c r="G12" i="1"/>
  <c r="H12" i="1"/>
  <c r="I12" i="1"/>
  <c r="J12" i="1"/>
  <c r="J16" i="1"/>
  <c r="I16" i="1"/>
  <c r="H16" i="1"/>
  <c r="G16" i="1"/>
  <c r="G24" i="2" l="1"/>
  <c r="H24" i="2"/>
  <c r="I24" i="2"/>
  <c r="J24" i="2"/>
  <c r="F24" i="2"/>
  <c r="H8" i="2"/>
  <c r="G8" i="2"/>
  <c r="I8" i="2"/>
  <c r="J8" i="2"/>
  <c r="F8" i="2"/>
  <c r="G15" i="1" l="1"/>
  <c r="H15" i="1"/>
  <c r="I15" i="1"/>
  <c r="J15" i="1"/>
  <c r="F15" i="1"/>
  <c r="F30" i="2" l="1"/>
  <c r="F22" i="1"/>
  <c r="J22" i="1" l="1"/>
  <c r="I22" i="1"/>
  <c r="H22" i="1"/>
  <c r="G22" i="1"/>
  <c r="J9" i="1"/>
  <c r="I9" i="1"/>
  <c r="H9" i="1"/>
  <c r="G9" i="1"/>
  <c r="F26" i="1" l="1"/>
  <c r="J26" i="1"/>
  <c r="I26" i="1"/>
  <c r="H26" i="1"/>
  <c r="G26" i="1"/>
  <c r="G16" i="2" l="1"/>
  <c r="J30" i="2" l="1"/>
  <c r="H30" i="2"/>
  <c r="G30" i="2"/>
  <c r="I30" i="2"/>
  <c r="F16" i="2" l="1"/>
  <c r="H16" i="2"/>
  <c r="F13" i="2"/>
  <c r="G13" i="2" l="1"/>
  <c r="I13" i="2"/>
  <c r="J16" i="2"/>
  <c r="H13" i="2"/>
  <c r="J13" i="2"/>
  <c r="I16" i="2"/>
</calcChain>
</file>

<file path=xl/sharedStrings.xml><?xml version="1.0" encoding="utf-8"?>
<sst xmlns="http://schemas.openxmlformats.org/spreadsheetml/2006/main" count="200" uniqueCount="81">
  <si>
    <t>Школа</t>
  </si>
  <si>
    <t>Отд./корп</t>
  </si>
  <si>
    <t>День</t>
  </si>
  <si>
    <t>Прием пищи</t>
  </si>
  <si>
    <t>Раздел</t>
  </si>
  <si>
    <t>№ рец.</t>
  </si>
  <si>
    <t>Блюдо</t>
  </si>
  <si>
    <t>Выход, 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</si>
  <si>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</si>
  <si>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</si>
  <si>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</si>
  <si>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</si>
  <si>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</si>
  <si>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</si>
  <si>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</si>
  <si>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>Итого</t>
  </si>
  <si>
    <t>Первое блюдо</t>
  </si>
  <si>
    <t>Гарнир</t>
  </si>
  <si>
    <t>Горячий напиток</t>
  </si>
  <si>
    <t>№685-2004г.</t>
  </si>
  <si>
    <t>Чай с сахаром</t>
  </si>
  <si>
    <t>Мучное изделие</t>
  </si>
  <si>
    <t>Гимназия №1</t>
  </si>
  <si>
    <t>подпись                расшифровка             </t>
  </si>
  <si>
    <t>Ответственный за питание</t>
  </si>
  <si>
    <t>Согласовано Директором МАОУ "Гимназия №1" Кравченко А.М.</t>
  </si>
  <si>
    <r>
      <t xml:space="preserve">Зав. производств. </t>
    </r>
    <r>
      <rPr>
        <sz val="11"/>
        <color theme="1"/>
        <rFont val="Times New Roman"/>
        <family val="1"/>
        <charset val="204"/>
      </rPr>
      <t>Кошакова З.С.</t>
    </r>
  </si>
  <si>
    <t>Завтрак 1-2 кл и дети-инвалиды 1 смена</t>
  </si>
  <si>
    <t xml:space="preserve">Обед дети-инвалиды 1-2 кл 1 смена </t>
  </si>
  <si>
    <t>Обед 3-4 кл., дети-инвалиды 2 смена, ГПД</t>
  </si>
  <si>
    <t>Полдник дети-инвалиды 3-4 кл 2 смена</t>
  </si>
  <si>
    <t>Закуска</t>
  </si>
  <si>
    <t>ТТК№5</t>
  </si>
  <si>
    <t>Батон "Домашний"</t>
  </si>
  <si>
    <t>200/15</t>
  </si>
  <si>
    <t>Завтрак 5-11 кл с доплатой 62,50 руб. и льготники с доплатой 42,50 руб. 1 смена</t>
  </si>
  <si>
    <t>Завтрак льготный 5-11 кл</t>
  </si>
  <si>
    <t>Завтрак бюджетный 1-я смена и полдник для детей-инвалидов 2-я смена 5-11 кл</t>
  </si>
  <si>
    <t>Обед 6-7 кл. 2-я смена</t>
  </si>
  <si>
    <t>Кондитерское изделие</t>
  </si>
  <si>
    <t>ПР</t>
  </si>
  <si>
    <t>Фрукт</t>
  </si>
  <si>
    <t>№338-2015г.</t>
  </si>
  <si>
    <t>Печенье "Весёлая ярмарка"</t>
  </si>
  <si>
    <t>Макаронные изделия отварные с маслом</t>
  </si>
  <si>
    <t>120/6</t>
  </si>
  <si>
    <t>№203-2015г.</t>
  </si>
  <si>
    <t>Пюре картофельное</t>
  </si>
  <si>
    <t>№312-2015г.</t>
  </si>
  <si>
    <t>Бутерброд с маслом</t>
  </si>
  <si>
    <t>№1-2015г.</t>
  </si>
  <si>
    <t>ТТК №47</t>
  </si>
  <si>
    <t>Бутерброд с икрой</t>
  </si>
  <si>
    <t>Напиток (сладкое блюдо)</t>
  </si>
  <si>
    <t>№342-2015г.</t>
  </si>
  <si>
    <t>Компот из свежих груш</t>
  </si>
  <si>
    <t>6/3/15</t>
  </si>
  <si>
    <t>110/5,5</t>
  </si>
  <si>
    <t>ТТК №18</t>
  </si>
  <si>
    <t>Филе цыплёнка запечённое</t>
  </si>
  <si>
    <t>№686-2004г.</t>
  </si>
  <si>
    <t>Чай с лимоном</t>
  </si>
  <si>
    <t>200/15/7</t>
  </si>
  <si>
    <t>№268-2015г.</t>
  </si>
  <si>
    <t>Котлета из свинины</t>
  </si>
  <si>
    <t>№102-2015г.</t>
  </si>
  <si>
    <t>Суп картофельный с горохом с зеленью</t>
  </si>
  <si>
    <t>250/2</t>
  </si>
  <si>
    <t>Фрукт свежий (яблоко)</t>
  </si>
  <si>
    <t>Напиток</t>
  </si>
  <si>
    <t>№389-2015г.</t>
  </si>
  <si>
    <t>Сок фруктовый</t>
  </si>
  <si>
    <t>200</t>
  </si>
  <si>
    <t>Пряник сливочный</t>
  </si>
  <si>
    <t>ТТК №3</t>
  </si>
  <si>
    <t>Булочка "Фигурная"</t>
  </si>
  <si>
    <t>Апельсин свежий (порция)</t>
  </si>
  <si>
    <t>№306-2015г.</t>
  </si>
  <si>
    <t>Бобовые отварные (горошек зелёный консервированный)</t>
  </si>
  <si>
    <t>Обед дети-инвалиды 5-11 кл 1 смена</t>
  </si>
  <si>
    <t>3/26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</si>
</sst>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22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/>
    <xf numFmtId="2" fontId="4" fillId="0" borderId="2" xfId="0" applyNumberFormat="1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2" fontId="3" fillId="0" borderId="5" xfId="0" applyNumberFormat="1" applyFont="1" applyBorder="1" applyAlignment="1">
      <alignment horizontal="right" vertical="center" wrapText="1"/>
    </xf>
    <xf numFmtId="0" fontId="3" fillId="0" borderId="12" xfId="0" applyFont="1" applyBorder="1" applyAlignment="1">
      <alignment vertical="center" wrapText="1"/>
    </xf>
    <xf numFmtId="2" fontId="3" fillId="0" borderId="13" xfId="0" applyNumberFormat="1" applyFont="1" applyBorder="1" applyAlignment="1">
      <alignment horizontal="right" vertical="center" wrapText="1"/>
    </xf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2" fontId="3" fillId="0" borderId="15" xfId="0" applyNumberFormat="1" applyFont="1" applyBorder="1" applyAlignment="1">
      <alignment vertical="center" wrapText="1"/>
    </xf>
    <xf numFmtId="2" fontId="3" fillId="0" borderId="16" xfId="0" applyNumberFormat="1" applyFont="1" applyBorder="1" applyAlignment="1">
      <alignment vertical="center" wrapText="1"/>
    </xf>
    <xf numFmtId="0" fontId="3" fillId="0" borderId="10" xfId="0" applyFont="1" applyBorder="1" applyAlignment="1">
      <alignment horizontal="right" vertical="center" wrapText="1"/>
    </xf>
    <xf numFmtId="2" fontId="3" fillId="0" borderId="10" xfId="0" applyNumberFormat="1" applyFont="1" applyBorder="1" applyAlignment="1">
      <alignment horizontal="right" vertical="center" wrapText="1"/>
    </xf>
    <xf numFmtId="2" fontId="3" fillId="0" borderId="11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15" xfId="0" applyFont="1" applyBorder="1" applyAlignment="1">
      <alignment horizontal="right" vertical="center" wrapText="1"/>
    </xf>
    <xf numFmtId="2" fontId="3" fillId="0" borderId="15" xfId="0" applyNumberFormat="1" applyFont="1" applyBorder="1" applyAlignment="1">
      <alignment horizontal="right" vertical="center" wrapText="1"/>
    </xf>
    <xf numFmtId="2" fontId="4" fillId="0" borderId="8" xfId="0" applyNumberFormat="1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2" fontId="4" fillId="0" borderId="22" xfId="0" applyNumberFormat="1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2" fontId="7" fillId="0" borderId="5" xfId="0" applyNumberFormat="1" applyFont="1" applyBorder="1" applyAlignment="1">
      <alignment horizontal="right" vertical="center" wrapText="1"/>
    </xf>
    <xf numFmtId="2" fontId="7" fillId="0" borderId="13" xfId="0" applyNumberFormat="1" applyFont="1" applyBorder="1" applyAlignment="1">
      <alignment horizontal="right" vertical="center" wrapText="1"/>
    </xf>
    <xf numFmtId="0" fontId="3" fillId="0" borderId="26" xfId="0" applyFont="1" applyBorder="1" applyAlignment="1">
      <alignment vertical="center" wrapText="1"/>
    </xf>
    <xf numFmtId="0" fontId="3" fillId="0" borderId="0" xfId="0" applyFont="1"/>
    <xf numFmtId="0" fontId="3" fillId="0" borderId="0" xfId="0" applyFont="1"/>
    <xf numFmtId="0" fontId="3" fillId="0" borderId="0" xfId="0" applyFont="1"/>
    <xf numFmtId="2" fontId="7" fillId="0" borderId="10" xfId="0" applyNumberFormat="1" applyFont="1" applyBorder="1" applyAlignment="1">
      <alignment horizontal="right" vertical="center" wrapText="1"/>
    </xf>
    <xf numFmtId="2" fontId="7" fillId="0" borderId="11" xfId="0" applyNumberFormat="1" applyFont="1" applyBorder="1" applyAlignment="1">
      <alignment horizontal="right" vertical="center" wrapText="1"/>
    </xf>
    <xf numFmtId="2" fontId="3" fillId="0" borderId="16" xfId="0" applyNumberFormat="1" applyFont="1" applyBorder="1" applyAlignment="1">
      <alignment horizontal="right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/>
    <xf numFmtId="0" fontId="3" fillId="0" borderId="32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/>
    <xf numFmtId="0" fontId="3" fillId="0" borderId="36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0" xfId="0" applyFont="1"/>
    <xf numFmtId="0" fontId="3" fillId="0" borderId="38" xfId="0" applyFont="1" applyBorder="1" applyAlignment="1">
      <alignment vertical="center" wrapText="1"/>
    </xf>
    <xf numFmtId="0" fontId="3" fillId="0" borderId="39" xfId="0" applyFont="1" applyBorder="1" applyAlignment="1">
      <alignment vertical="center" wrapText="1"/>
    </xf>
    <xf numFmtId="0" fontId="3" fillId="0" borderId="39" xfId="0" applyFont="1" applyBorder="1" applyAlignment="1">
      <alignment horizontal="right" vertical="center" wrapText="1"/>
    </xf>
    <xf numFmtId="2" fontId="3" fillId="0" borderId="39" xfId="0" applyNumberFormat="1" applyFont="1" applyBorder="1" applyAlignment="1">
      <alignment horizontal="right" vertical="center" wrapText="1"/>
    </xf>
    <xf numFmtId="2" fontId="3" fillId="0" borderId="39" xfId="0" applyNumberFormat="1" applyFont="1" applyBorder="1" applyAlignment="1">
      <alignment vertical="center" wrapText="1"/>
    </xf>
    <xf numFmtId="2" fontId="3" fillId="0" borderId="40" xfId="0" applyNumberFormat="1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4" fontId="3" fillId="0" borderId="13" xfId="0" applyNumberFormat="1" applyFont="1" applyBorder="1" applyAlignment="1">
      <alignment horizontal="right" vertical="center" wrapText="1"/>
    </xf>
    <xf numFmtId="0" fontId="3" fillId="0" borderId="0" xfId="0" applyFont="1"/>
    <xf numFmtId="4" fontId="3" fillId="0" borderId="15" xfId="0" applyNumberFormat="1" applyFont="1" applyBorder="1" applyAlignment="1">
      <alignment horizontal="right" vertical="center" wrapText="1"/>
    </xf>
    <xf numFmtId="4" fontId="3" fillId="0" borderId="16" xfId="0" applyNumberFormat="1" applyFont="1" applyBorder="1" applyAlignment="1">
      <alignment horizontal="right" vertical="center" wrapText="1"/>
    </xf>
    <xf numFmtId="0" fontId="3" fillId="0" borderId="0" xfId="0" applyFont="1"/>
    <xf numFmtId="0" fontId="3" fillId="0" borderId="10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9" fillId="0" borderId="39" xfId="1" applyFont="1" applyBorder="1" applyAlignment="1">
      <alignment horizontal="left" vertical="center" wrapText="1"/>
    </xf>
    <xf numFmtId="0" fontId="3" fillId="0" borderId="0" xfId="0" applyFont="1"/>
    <xf numFmtId="49" fontId="3" fillId="0" borderId="10" xfId="0" applyNumberFormat="1" applyFont="1" applyBorder="1" applyAlignment="1">
      <alignment horizontal="right" vertical="center" wrapText="1"/>
    </xf>
    <xf numFmtId="2" fontId="7" fillId="0" borderId="5" xfId="1" applyNumberFormat="1" applyFont="1" applyBorder="1" applyAlignment="1">
      <alignment horizontal="right" vertical="center" wrapText="1"/>
    </xf>
    <xf numFmtId="2" fontId="7" fillId="0" borderId="39" xfId="1" applyNumberFormat="1" applyFont="1" applyBorder="1" applyAlignment="1">
      <alignment horizontal="righ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0" xfId="0" applyFont="1"/>
    <xf numFmtId="2" fontId="4" fillId="0" borderId="32" xfId="0" applyNumberFormat="1" applyFont="1" applyBorder="1" applyAlignment="1">
      <alignment vertical="center" wrapText="1"/>
    </xf>
    <xf numFmtId="0" fontId="9" fillId="0" borderId="5" xfId="1" applyFont="1" applyBorder="1" applyAlignment="1">
      <alignment vertical="center" wrapText="1"/>
    </xf>
    <xf numFmtId="2" fontId="7" fillId="0" borderId="13" xfId="1" applyNumberFormat="1" applyFont="1" applyBorder="1" applyAlignment="1">
      <alignment horizontal="right" vertical="center" wrapText="1"/>
    </xf>
    <xf numFmtId="2" fontId="7" fillId="0" borderId="10" xfId="1" applyNumberFormat="1" applyFont="1" applyBorder="1" applyAlignment="1">
      <alignment horizontal="right" vertical="center" wrapText="1"/>
    </xf>
    <xf numFmtId="2" fontId="7" fillId="0" borderId="11" xfId="1" applyNumberFormat="1" applyFont="1" applyBorder="1" applyAlignment="1">
      <alignment horizontal="right" vertical="center" wrapText="1"/>
    </xf>
    <xf numFmtId="0" fontId="3" fillId="0" borderId="0" xfId="0" applyFont="1"/>
    <xf numFmtId="0" fontId="3" fillId="0" borderId="0" xfId="0" applyFont="1"/>
    <xf numFmtId="0" fontId="4" fillId="0" borderId="6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30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right" vertical="center" wrapText="1"/>
    </xf>
    <xf numFmtId="0" fontId="4" fillId="0" borderId="27" xfId="0" applyFont="1" applyBorder="1" applyAlignment="1">
      <alignment horizontal="right" vertical="center" wrapText="1"/>
    </xf>
    <xf numFmtId="0" fontId="4" fillId="0" borderId="35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4" fillId="0" borderId="21" xfId="0" applyFont="1" applyBorder="1" applyAlignment="1">
      <alignment horizontal="right" vertical="center" wrapText="1"/>
    </xf>
    <xf numFmtId="0" fontId="4" fillId="0" borderId="22" xfId="0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14" fontId="6" fillId="0" borderId="20" xfId="0" applyNumberFormat="1" applyFont="1" applyBorder="1" applyAlignment="1">
      <alignment horizontal="center" vertical="center" wrapText="1"/>
    </xf>
    <xf numFmtId="14" fontId="6" fillId="0" borderId="21" xfId="0" applyNumberFormat="1" applyFont="1" applyBorder="1" applyAlignment="1">
      <alignment horizontal="center" vertical="center" wrapText="1"/>
    </xf>
    <xf numFmtId="14" fontId="6" fillId="0" borderId="23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righ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3" fillId="0" borderId="42" xfId="0" applyFont="1" applyBorder="1" applyAlignment="1">
      <alignment horizontal="left" vertical="center" wrapText="1"/>
    </xf>
    <xf numFmtId="0" fontId="3" fillId="0" borderId="4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3" fillId="0" borderId="44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right" vertical="center" wrapText="1"/>
    </xf>
    <xf numFmtId="0" fontId="4" fillId="0" borderId="37" xfId="0" applyFont="1" applyBorder="1" applyAlignment="1">
      <alignment horizontal="right" vertical="center" wrapText="1"/>
    </xf>
    <xf numFmtId="0" fontId="7" fillId="0" borderId="10" xfId="1" applyFont="1" applyBorder="1" applyAlignment="1">
      <alignment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45" xfId="1" applyFont="1" applyBorder="1" applyAlignment="1">
      <alignment horizontal="left" vertical="center" wrapText="1"/>
    </xf>
    <xf numFmtId="2" fontId="3" fillId="0" borderId="10" xfId="1" applyNumberFormat="1" applyFont="1" applyBorder="1" applyAlignment="1">
      <alignment horizontal="right" vertical="center" wrapText="1"/>
    </xf>
    <xf numFmtId="2" fontId="3" fillId="0" borderId="11" xfId="1" applyNumberFormat="1" applyFont="1" applyBorder="1" applyAlignment="1">
      <alignment horizontal="right" vertical="center" wrapText="1"/>
    </xf>
    <xf numFmtId="0" fontId="7" fillId="0" borderId="5" xfId="1" applyFont="1" applyBorder="1" applyAlignment="1">
      <alignment vertical="center" wrapText="1"/>
    </xf>
    <xf numFmtId="0" fontId="9" fillId="0" borderId="5" xfId="1" applyFont="1" applyBorder="1" applyAlignment="1">
      <alignment horizontal="left" vertical="center" wrapText="1"/>
    </xf>
    <xf numFmtId="2" fontId="3" fillId="0" borderId="5" xfId="0" applyNumberFormat="1" applyFont="1" applyBorder="1" applyAlignment="1">
      <alignment vertical="center" wrapText="1"/>
    </xf>
    <xf numFmtId="0" fontId="4" fillId="0" borderId="46" xfId="0" applyFont="1" applyBorder="1" applyAlignment="1">
      <alignment horizontal="right" vertical="center" wrapText="1"/>
    </xf>
    <xf numFmtId="0" fontId="4" fillId="0" borderId="47" xfId="0" applyFont="1" applyBorder="1" applyAlignment="1">
      <alignment horizontal="right" vertical="center" wrapText="1"/>
    </xf>
    <xf numFmtId="2" fontId="4" fillId="0" borderId="47" xfId="0" applyNumberFormat="1" applyFont="1" applyBorder="1" applyAlignment="1">
      <alignment vertical="center" wrapText="1"/>
    </xf>
    <xf numFmtId="2" fontId="3" fillId="0" borderId="13" xfId="0" applyNumberFormat="1" applyFont="1" applyBorder="1" applyAlignment="1">
      <alignment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B10" sqref="B10:J14"/>
    </sheetView>
  </sheetViews>
  <sheetFormatPr defaultRowHeight="15" x14ac:dyDescent="0.25"/>
  <cols>
    <col min="1" max="1" width="20.140625" style="2" customWidth="1"/>
    <col min="2" max="2" width="24.7109375" style="2" customWidth="1"/>
    <col min="3" max="3" width="12.28515625" style="2" customWidth="1"/>
    <col min="4" max="4" width="53.140625" style="2" customWidth="1"/>
    <col min="5" max="5" width="10.140625" style="2" bestFit="1" customWidth="1"/>
    <col min="6" max="6" width="9.140625" style="2"/>
    <col min="7" max="7" width="18.140625" style="2" customWidth="1"/>
    <col min="8" max="8" width="11.42578125" style="2" bestFit="1" customWidth="1"/>
    <col min="9" max="9" width="9.140625" style="2"/>
    <col min="10" max="10" width="10.85546875" style="2" customWidth="1"/>
    <col min="11" max="16384" width="9.140625" style="2"/>
  </cols>
  <sheetData>
    <row r="1" spans="1:12" ht="15.75" thickBot="1" x14ac:dyDescent="0.3">
      <c r="A1" s="1" t="s">
        <v>0</v>
      </c>
      <c r="B1" s="106" t="s">
        <v>22</v>
      </c>
      <c r="C1" s="107"/>
      <c r="D1" s="1" t="s">
        <v>1</v>
      </c>
      <c r="E1" s="27"/>
      <c r="F1" s="1" t="s">
        <v>2</v>
      </c>
      <c r="G1" s="89">
        <v>44818</v>
      </c>
      <c r="H1" s="90"/>
      <c r="I1" s="90"/>
      <c r="J1" s="91"/>
      <c r="K1" s="1"/>
      <c r="L1" s="1"/>
    </row>
    <row r="2" spans="1:12" ht="15.75" thickBot="1" x14ac:dyDescent="0.3">
      <c r="A2" s="34" t="s">
        <v>3</v>
      </c>
      <c r="B2" s="5" t="s">
        <v>4</v>
      </c>
      <c r="C2" s="35" t="s">
        <v>5</v>
      </c>
      <c r="D2" s="39" t="s">
        <v>6</v>
      </c>
      <c r="E2" s="39" t="s">
        <v>7</v>
      </c>
      <c r="F2" s="39" t="s">
        <v>8</v>
      </c>
      <c r="G2" s="5" t="s">
        <v>9</v>
      </c>
      <c r="H2" s="5" t="s">
        <v>10</v>
      </c>
      <c r="I2" s="5" t="s">
        <v>11</v>
      </c>
      <c r="J2" s="36" t="s">
        <v>12</v>
      </c>
    </row>
    <row r="3" spans="1:12" ht="15" customHeight="1" x14ac:dyDescent="0.25">
      <c r="A3" s="92" t="s">
        <v>27</v>
      </c>
      <c r="B3" s="21" t="s">
        <v>13</v>
      </c>
      <c r="C3" s="22" t="s">
        <v>58</v>
      </c>
      <c r="D3" s="22" t="s">
        <v>59</v>
      </c>
      <c r="E3" s="14">
        <v>50</v>
      </c>
      <c r="F3" s="15">
        <v>41.88</v>
      </c>
      <c r="G3" s="31">
        <v>129.15</v>
      </c>
      <c r="H3" s="31">
        <v>17.2</v>
      </c>
      <c r="I3" s="31">
        <v>3.8</v>
      </c>
      <c r="J3" s="32">
        <v>6.6</v>
      </c>
    </row>
    <row r="4" spans="1:12" s="45" customFormat="1" ht="15" customHeight="1" x14ac:dyDescent="0.25">
      <c r="A4" s="92"/>
      <c r="B4" s="8" t="s">
        <v>17</v>
      </c>
      <c r="C4" s="66" t="s">
        <v>48</v>
      </c>
      <c r="D4" s="69" t="s">
        <v>47</v>
      </c>
      <c r="E4" s="17">
        <v>150</v>
      </c>
      <c r="F4" s="7">
        <v>13.8</v>
      </c>
      <c r="G4" s="64">
        <f>915*0.15</f>
        <v>137.25</v>
      </c>
      <c r="H4" s="64">
        <f>20.43*0.15</f>
        <v>3.0644999999999998</v>
      </c>
      <c r="I4" s="64">
        <f>32.01*0.15</f>
        <v>4.8014999999999999</v>
      </c>
      <c r="J4" s="70">
        <f>136.26*0.15</f>
        <v>20.438999999999997</v>
      </c>
    </row>
    <row r="5" spans="1:12" s="67" customFormat="1" x14ac:dyDescent="0.25">
      <c r="A5" s="92"/>
      <c r="B5" s="8" t="s">
        <v>53</v>
      </c>
      <c r="C5" s="6" t="s">
        <v>54</v>
      </c>
      <c r="D5" s="6" t="s">
        <v>55</v>
      </c>
      <c r="E5" s="17">
        <v>200</v>
      </c>
      <c r="F5" s="7">
        <v>12.22</v>
      </c>
      <c r="G5" s="7">
        <f>573*0.2</f>
        <v>114.60000000000001</v>
      </c>
      <c r="H5" s="7">
        <f>0.8*0.2</f>
        <v>0.16000000000000003</v>
      </c>
      <c r="I5" s="7">
        <f>0.6*0.2</f>
        <v>0.12</v>
      </c>
      <c r="J5" s="9">
        <f>140.4*0.2</f>
        <v>28.080000000000002</v>
      </c>
      <c r="K5"/>
    </row>
    <row r="6" spans="1:12" s="45" customFormat="1" ht="15" customHeight="1" x14ac:dyDescent="0.25">
      <c r="A6" s="92"/>
      <c r="B6" s="8" t="s">
        <v>21</v>
      </c>
      <c r="C6" s="52" t="s">
        <v>74</v>
      </c>
      <c r="D6" s="6" t="s">
        <v>75</v>
      </c>
      <c r="E6" s="17">
        <v>50</v>
      </c>
      <c r="F6" s="7">
        <v>5.03</v>
      </c>
      <c r="G6" s="53">
        <v>161.9</v>
      </c>
      <c r="H6" s="53">
        <v>3.2</v>
      </c>
      <c r="I6" s="53">
        <v>3.2</v>
      </c>
      <c r="J6" s="54">
        <v>29.99</v>
      </c>
    </row>
    <row r="7" spans="1:12" s="67" customFormat="1" x14ac:dyDescent="0.25">
      <c r="A7" s="92"/>
      <c r="B7" s="46" t="s">
        <v>14</v>
      </c>
      <c r="C7" s="47" t="s">
        <v>32</v>
      </c>
      <c r="D7" s="47" t="s">
        <v>33</v>
      </c>
      <c r="E7" s="48">
        <v>40</v>
      </c>
      <c r="F7" s="49">
        <v>1.86</v>
      </c>
      <c r="G7" s="49">
        <f>229.7*0.4</f>
        <v>91.88</v>
      </c>
      <c r="H7" s="50">
        <f>6.7*0.4</f>
        <v>2.68</v>
      </c>
      <c r="I7" s="50">
        <f>1.1*0.4</f>
        <v>0.44000000000000006</v>
      </c>
      <c r="J7" s="51">
        <f>48.3*0.4</f>
        <v>19.32</v>
      </c>
    </row>
    <row r="8" spans="1:12" s="41" customFormat="1" ht="15.75" thickBot="1" x14ac:dyDescent="0.3">
      <c r="A8" s="92"/>
      <c r="B8" s="10" t="s">
        <v>41</v>
      </c>
      <c r="C8" s="11" t="s">
        <v>42</v>
      </c>
      <c r="D8" s="11" t="s">
        <v>76</v>
      </c>
      <c r="E8" s="18">
        <v>140</v>
      </c>
      <c r="F8" s="19">
        <v>22.36</v>
      </c>
      <c r="G8" s="56">
        <f>43*1.4</f>
        <v>60.199999999999996</v>
      </c>
      <c r="H8" s="56">
        <f>0.9*1.4</f>
        <v>1.26</v>
      </c>
      <c r="I8" s="56">
        <f>0.2*1.4</f>
        <v>0.27999999999999997</v>
      </c>
      <c r="J8" s="57">
        <f>8.1*1.4</f>
        <v>11.339999999999998</v>
      </c>
    </row>
    <row r="9" spans="1:12" ht="16.5" thickBot="1" x14ac:dyDescent="0.3">
      <c r="A9" s="80" t="s">
        <v>15</v>
      </c>
      <c r="B9" s="81"/>
      <c r="C9" s="81"/>
      <c r="D9" s="81"/>
      <c r="E9" s="82"/>
      <c r="F9" s="68">
        <f>SUM(F3:F8)</f>
        <v>97.15</v>
      </c>
      <c r="G9" s="68">
        <f>SUM(G3:G8)</f>
        <v>694.98</v>
      </c>
      <c r="H9" s="68">
        <f>SUM(H3:H8)</f>
        <v>27.564499999999999</v>
      </c>
      <c r="I9" s="68">
        <f>SUM(I3:I8)</f>
        <v>12.641499999999997</v>
      </c>
      <c r="J9" s="68">
        <f>SUM(J3:J8)</f>
        <v>115.76900000000001</v>
      </c>
    </row>
    <row r="10" spans="1:12" x14ac:dyDescent="0.25">
      <c r="A10" s="83" t="s">
        <v>28</v>
      </c>
      <c r="B10" s="21" t="s">
        <v>16</v>
      </c>
      <c r="C10" s="22" t="s">
        <v>65</v>
      </c>
      <c r="D10" s="110" t="s">
        <v>66</v>
      </c>
      <c r="E10" s="14" t="s">
        <v>67</v>
      </c>
      <c r="F10" s="15">
        <v>7.09</v>
      </c>
      <c r="G10" s="71">
        <f>593*0.25</f>
        <v>148.25</v>
      </c>
      <c r="H10" s="71">
        <f>21.96*0.25</f>
        <v>5.49</v>
      </c>
      <c r="I10" s="71">
        <f>21.08*0.25</f>
        <v>5.27</v>
      </c>
      <c r="J10" s="72">
        <f>66.14*0.25</f>
        <v>16.535</v>
      </c>
      <c r="K10"/>
    </row>
    <row r="11" spans="1:12" x14ac:dyDescent="0.25">
      <c r="A11" s="83"/>
      <c r="B11" s="8" t="s">
        <v>13</v>
      </c>
      <c r="C11" s="6" t="s">
        <v>63</v>
      </c>
      <c r="D11" s="6" t="s">
        <v>64</v>
      </c>
      <c r="E11" s="17">
        <v>50</v>
      </c>
      <c r="F11" s="7">
        <v>17.559999999999999</v>
      </c>
      <c r="G11" s="25">
        <f>182/50*50</f>
        <v>182</v>
      </c>
      <c r="H11" s="25">
        <f>6.74/50*50</f>
        <v>6.74</v>
      </c>
      <c r="I11" s="25">
        <f>13.91/50*50</f>
        <v>13.91</v>
      </c>
      <c r="J11" s="26">
        <f>7.09/50*50</f>
        <v>7.0900000000000007</v>
      </c>
      <c r="K11"/>
    </row>
    <row r="12" spans="1:12" s="67" customFormat="1" ht="15" customHeight="1" x14ac:dyDescent="0.25">
      <c r="A12" s="83"/>
      <c r="B12" s="8" t="s">
        <v>17</v>
      </c>
      <c r="C12" s="6" t="s">
        <v>46</v>
      </c>
      <c r="D12" s="61" t="s">
        <v>44</v>
      </c>
      <c r="E12" s="17" t="s">
        <v>45</v>
      </c>
      <c r="F12" s="7">
        <v>11.73</v>
      </c>
      <c r="G12" s="25">
        <f>137*1.2</f>
        <v>164.4</v>
      </c>
      <c r="H12" s="65">
        <f>3.82*1.2</f>
        <v>4.5839999999999996</v>
      </c>
      <c r="I12" s="65">
        <f>4.05*1.2</f>
        <v>4.8599999999999994</v>
      </c>
      <c r="J12" s="65">
        <f>21.32*1.2</f>
        <v>25.584</v>
      </c>
    </row>
    <row r="13" spans="1:12" s="29" customFormat="1" x14ac:dyDescent="0.25">
      <c r="A13" s="83"/>
      <c r="B13" s="8" t="s">
        <v>18</v>
      </c>
      <c r="C13" s="6" t="s">
        <v>60</v>
      </c>
      <c r="D13" s="6" t="s">
        <v>61</v>
      </c>
      <c r="E13" s="17" t="s">
        <v>62</v>
      </c>
      <c r="F13" s="7">
        <v>4.03</v>
      </c>
      <c r="G13" s="7">
        <v>62</v>
      </c>
      <c r="H13" s="7">
        <v>0.13</v>
      </c>
      <c r="I13" s="7">
        <v>0.02</v>
      </c>
      <c r="J13" s="9">
        <v>15.2</v>
      </c>
    </row>
    <row r="14" spans="1:12" ht="15.75" thickBot="1" x14ac:dyDescent="0.3">
      <c r="A14" s="83"/>
      <c r="B14" s="10" t="s">
        <v>14</v>
      </c>
      <c r="C14" s="11" t="s">
        <v>32</v>
      </c>
      <c r="D14" s="11" t="s">
        <v>33</v>
      </c>
      <c r="E14" s="18">
        <v>42</v>
      </c>
      <c r="F14" s="19">
        <v>1.88</v>
      </c>
      <c r="G14" s="19">
        <f>229.7*0.42</f>
        <v>96.47399999999999</v>
      </c>
      <c r="H14" s="12">
        <f>6.7*0.42</f>
        <v>2.8140000000000001</v>
      </c>
      <c r="I14" s="12">
        <f>1.1*0.42</f>
        <v>0.46200000000000002</v>
      </c>
      <c r="J14" s="13">
        <f>48.3*0.42</f>
        <v>20.285999999999998</v>
      </c>
    </row>
    <row r="15" spans="1:12" ht="16.5" thickBot="1" x14ac:dyDescent="0.3">
      <c r="A15" s="108" t="s">
        <v>15</v>
      </c>
      <c r="B15" s="94"/>
      <c r="C15" s="94"/>
      <c r="D15" s="94"/>
      <c r="E15" s="95"/>
      <c r="F15" s="20">
        <f>SUM(F10:F14)</f>
        <v>42.29</v>
      </c>
      <c r="G15" s="20">
        <f t="shared" ref="G15:J15" si="0">SUM(G10:G14)</f>
        <v>653.12400000000002</v>
      </c>
      <c r="H15" s="20">
        <f t="shared" si="0"/>
        <v>19.757999999999999</v>
      </c>
      <c r="I15" s="20">
        <f t="shared" si="0"/>
        <v>24.521999999999998</v>
      </c>
      <c r="J15" s="20">
        <f t="shared" si="0"/>
        <v>84.695000000000007</v>
      </c>
    </row>
    <row r="16" spans="1:12" s="67" customFormat="1" ht="15" customHeight="1" x14ac:dyDescent="0.25">
      <c r="A16" s="78" t="s">
        <v>29</v>
      </c>
      <c r="B16" s="60" t="s">
        <v>31</v>
      </c>
      <c r="C16" s="59" t="s">
        <v>51</v>
      </c>
      <c r="D16" s="59" t="s">
        <v>52</v>
      </c>
      <c r="E16" s="63" t="s">
        <v>56</v>
      </c>
      <c r="F16" s="15">
        <v>59.02</v>
      </c>
      <c r="G16" s="15">
        <f>101.8-280*0.05</f>
        <v>87.8</v>
      </c>
      <c r="H16" s="15">
        <f>3.5-8*0.05</f>
        <v>3.1</v>
      </c>
      <c r="I16" s="15">
        <f>4.9-3*0.05</f>
        <v>4.75</v>
      </c>
      <c r="J16" s="16">
        <f>10.9-54*0.05</f>
        <v>8.1999999999999993</v>
      </c>
    </row>
    <row r="17" spans="1:11" s="40" customFormat="1" x14ac:dyDescent="0.25">
      <c r="A17" s="105"/>
      <c r="B17" s="8" t="s">
        <v>16</v>
      </c>
      <c r="C17" s="6" t="s">
        <v>65</v>
      </c>
      <c r="D17" s="115" t="s">
        <v>66</v>
      </c>
      <c r="E17" s="17" t="s">
        <v>67</v>
      </c>
      <c r="F17" s="7">
        <v>7.09</v>
      </c>
      <c r="G17" s="64">
        <f>593*0.25</f>
        <v>148.25</v>
      </c>
      <c r="H17" s="64">
        <f>21.96*0.25</f>
        <v>5.49</v>
      </c>
      <c r="I17" s="64">
        <f>21.08*0.25</f>
        <v>5.27</v>
      </c>
      <c r="J17" s="70">
        <f>66.14*0.25</f>
        <v>16.535</v>
      </c>
    </row>
    <row r="18" spans="1:11" s="55" customFormat="1" x14ac:dyDescent="0.25">
      <c r="A18" s="105"/>
      <c r="B18" s="8" t="s">
        <v>13</v>
      </c>
      <c r="C18" s="6" t="s">
        <v>63</v>
      </c>
      <c r="D18" s="6" t="s">
        <v>64</v>
      </c>
      <c r="E18" s="17">
        <v>50</v>
      </c>
      <c r="F18" s="7">
        <v>17.559999999999999</v>
      </c>
      <c r="G18" s="25">
        <f>182/50*50</f>
        <v>182</v>
      </c>
      <c r="H18" s="25">
        <f>6.74/50*50</f>
        <v>6.74</v>
      </c>
      <c r="I18" s="25">
        <f>13.91/50*50</f>
        <v>13.91</v>
      </c>
      <c r="J18" s="26">
        <f>7.09/50*50</f>
        <v>7.0900000000000007</v>
      </c>
      <c r="K18"/>
    </row>
    <row r="19" spans="1:11" s="67" customFormat="1" ht="15" customHeight="1" x14ac:dyDescent="0.25">
      <c r="A19" s="105"/>
      <c r="B19" s="8" t="s">
        <v>17</v>
      </c>
      <c r="C19" s="6" t="s">
        <v>46</v>
      </c>
      <c r="D19" s="116" t="s">
        <v>44</v>
      </c>
      <c r="E19" s="17" t="s">
        <v>57</v>
      </c>
      <c r="F19" s="7">
        <v>10.24</v>
      </c>
      <c r="G19" s="25">
        <f>137*1.1</f>
        <v>150.70000000000002</v>
      </c>
      <c r="H19" s="64">
        <f>3.82*1.1</f>
        <v>4.202</v>
      </c>
      <c r="I19" s="64">
        <f>4.05*1.1</f>
        <v>4.4550000000000001</v>
      </c>
      <c r="J19" s="70">
        <f>21.32*1.1</f>
        <v>23.452000000000002</v>
      </c>
    </row>
    <row r="20" spans="1:11" s="37" customFormat="1" x14ac:dyDescent="0.25">
      <c r="A20" s="105"/>
      <c r="B20" s="8" t="s">
        <v>18</v>
      </c>
      <c r="C20" s="6" t="s">
        <v>19</v>
      </c>
      <c r="D20" s="6" t="s">
        <v>20</v>
      </c>
      <c r="E20" s="17" t="s">
        <v>34</v>
      </c>
      <c r="F20" s="7">
        <v>2.5</v>
      </c>
      <c r="G20" s="7">
        <v>60</v>
      </c>
      <c r="H20" s="7">
        <v>7.0000000000000007E-2</v>
      </c>
      <c r="I20" s="7">
        <v>0.02</v>
      </c>
      <c r="J20" s="9">
        <v>15</v>
      </c>
    </row>
    <row r="21" spans="1:11" s="37" customFormat="1" ht="15.75" thickBot="1" x14ac:dyDescent="0.3">
      <c r="A21" s="79"/>
      <c r="B21" s="10" t="s">
        <v>14</v>
      </c>
      <c r="C21" s="11" t="s">
        <v>32</v>
      </c>
      <c r="D21" s="11" t="s">
        <v>33</v>
      </c>
      <c r="E21" s="18">
        <v>16.5</v>
      </c>
      <c r="F21" s="19">
        <v>0.74</v>
      </c>
      <c r="G21" s="19">
        <f>229.7*0.165</f>
        <v>37.900500000000001</v>
      </c>
      <c r="H21" s="12">
        <f>6.7*0.165</f>
        <v>1.1055000000000001</v>
      </c>
      <c r="I21" s="12">
        <f>1.1*0.165</f>
        <v>0.18150000000000002</v>
      </c>
      <c r="J21" s="13">
        <f>48.3*0.165</f>
        <v>7.9695</v>
      </c>
    </row>
    <row r="22" spans="1:11" s="30" customFormat="1" ht="16.5" thickBot="1" x14ac:dyDescent="0.3">
      <c r="A22" s="80" t="s">
        <v>15</v>
      </c>
      <c r="B22" s="94"/>
      <c r="C22" s="94"/>
      <c r="D22" s="94"/>
      <c r="E22" s="109"/>
      <c r="F22" s="20">
        <f>SUM(F16:F21)</f>
        <v>97.149999999999991</v>
      </c>
      <c r="G22" s="20">
        <f>SUM(G16:G21)</f>
        <v>666.65049999999997</v>
      </c>
      <c r="H22" s="20">
        <f>SUM(H16:H21)</f>
        <v>20.7075</v>
      </c>
      <c r="I22" s="20">
        <f>SUM(I16:I21)</f>
        <v>28.586499999999997</v>
      </c>
      <c r="J22" s="20">
        <f>SUM(J16:J21)</f>
        <v>78.246499999999997</v>
      </c>
      <c r="K22"/>
    </row>
    <row r="23" spans="1:11" s="55" customFormat="1" x14ac:dyDescent="0.25">
      <c r="A23" s="100" t="s">
        <v>30</v>
      </c>
      <c r="B23" s="111" t="s">
        <v>69</v>
      </c>
      <c r="C23" s="59" t="s">
        <v>70</v>
      </c>
      <c r="D23" s="112" t="s">
        <v>71</v>
      </c>
      <c r="E23" s="63" t="s">
        <v>72</v>
      </c>
      <c r="F23" s="14">
        <v>21.71</v>
      </c>
      <c r="G23" s="15">
        <v>104</v>
      </c>
      <c r="H23" s="113">
        <v>0.6</v>
      </c>
      <c r="I23" s="113">
        <v>0.2</v>
      </c>
      <c r="J23" s="114">
        <v>23.6</v>
      </c>
      <c r="K23"/>
    </row>
    <row r="24" spans="1:11" s="55" customFormat="1" x14ac:dyDescent="0.25">
      <c r="A24" s="101"/>
      <c r="B24" s="8" t="s">
        <v>39</v>
      </c>
      <c r="C24" s="6" t="s">
        <v>40</v>
      </c>
      <c r="D24" s="6" t="s">
        <v>73</v>
      </c>
      <c r="E24" s="17">
        <v>35</v>
      </c>
      <c r="F24" s="7">
        <v>8.2899999999999991</v>
      </c>
      <c r="G24" s="7">
        <v>122.5</v>
      </c>
      <c r="H24" s="7">
        <v>1.75</v>
      </c>
      <c r="I24" s="7">
        <v>2.1</v>
      </c>
      <c r="J24" s="9">
        <v>24.15</v>
      </c>
      <c r="K24"/>
    </row>
    <row r="25" spans="1:11" s="55" customFormat="1" ht="15.75" thickBot="1" x14ac:dyDescent="0.3">
      <c r="A25" s="101"/>
      <c r="B25" s="10" t="s">
        <v>41</v>
      </c>
      <c r="C25" s="11" t="s">
        <v>42</v>
      </c>
      <c r="D25" s="11" t="s">
        <v>68</v>
      </c>
      <c r="E25" s="18">
        <v>80</v>
      </c>
      <c r="F25" s="19">
        <v>12.29</v>
      </c>
      <c r="G25" s="56">
        <f>47*0.8</f>
        <v>37.6</v>
      </c>
      <c r="H25" s="56">
        <f>0.4*0.8</f>
        <v>0.32000000000000006</v>
      </c>
      <c r="I25" s="56">
        <f>0.4*0.8</f>
        <v>0.32000000000000006</v>
      </c>
      <c r="J25" s="57">
        <f>9.8*0.8</f>
        <v>7.8400000000000007</v>
      </c>
      <c r="K25"/>
    </row>
    <row r="26" spans="1:11" s="55" customFormat="1" ht="16.5" thickBot="1" x14ac:dyDescent="0.3">
      <c r="A26" s="102" t="s">
        <v>15</v>
      </c>
      <c r="B26" s="103"/>
      <c r="C26" s="103"/>
      <c r="D26" s="103"/>
      <c r="E26" s="104"/>
      <c r="F26" s="3">
        <f>SUM(F23:F25)</f>
        <v>42.29</v>
      </c>
      <c r="G26" s="3">
        <f>SUM(G23:G25)</f>
        <v>264.10000000000002</v>
      </c>
      <c r="H26" s="3">
        <f>SUM(H23:H25)</f>
        <v>2.67</v>
      </c>
      <c r="I26" s="3">
        <f>SUM(I23:I25)</f>
        <v>2.62</v>
      </c>
      <c r="J26" s="3">
        <f>SUM(J23:J25)</f>
        <v>55.59</v>
      </c>
      <c r="K26"/>
    </row>
    <row r="28" spans="1:11" ht="15.75" thickBot="1" x14ac:dyDescent="0.3">
      <c r="A28" s="74" t="s">
        <v>25</v>
      </c>
      <c r="B28" s="74"/>
      <c r="C28" s="74"/>
      <c r="D28" s="74"/>
      <c r="E28" s="74"/>
      <c r="F28" s="74"/>
      <c r="G28" s="74"/>
      <c r="H28" s="74"/>
      <c r="I28" s="74"/>
      <c r="J28" s="74"/>
    </row>
    <row r="29" spans="1:11" ht="15.75" x14ac:dyDescent="0.25">
      <c r="A29" s="24"/>
      <c r="B29" s="24"/>
      <c r="C29" s="75" t="s">
        <v>23</v>
      </c>
      <c r="D29" s="75"/>
      <c r="G29" s="76"/>
      <c r="H29" s="76"/>
      <c r="I29" s="76"/>
      <c r="J29" s="76"/>
    </row>
    <row r="30" spans="1:11" x14ac:dyDescent="0.25">
      <c r="A30" s="1"/>
      <c r="B30" s="1"/>
      <c r="C30" s="1"/>
      <c r="D30" s="1"/>
    </row>
    <row r="31" spans="1:11" x14ac:dyDescent="0.25">
      <c r="A31" s="77" t="s">
        <v>24</v>
      </c>
      <c r="B31" s="77"/>
    </row>
    <row r="32" spans="1:11" x14ac:dyDescent="0.25">
      <c r="A32" s="77" t="s">
        <v>26</v>
      </c>
      <c r="B32" s="77"/>
    </row>
    <row r="33" spans="1:1" x14ac:dyDescent="0.25">
      <c r="A33" s="4"/>
    </row>
  </sheetData>
  <mergeCells count="15">
    <mergeCell ref="B1:C1"/>
    <mergeCell ref="G1:J1"/>
    <mergeCell ref="C29:D29"/>
    <mergeCell ref="A28:J28"/>
    <mergeCell ref="G29:J29"/>
    <mergeCell ref="A9:E9"/>
    <mergeCell ref="A10:A14"/>
    <mergeCell ref="A15:E15"/>
    <mergeCell ref="A22:E22"/>
    <mergeCell ref="A31:B31"/>
    <mergeCell ref="A32:B32"/>
    <mergeCell ref="A3:A8"/>
    <mergeCell ref="A23:A25"/>
    <mergeCell ref="A26:E26"/>
    <mergeCell ref="A16:A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activeCell="E15" sqref="E15"/>
    </sheetView>
  </sheetViews>
  <sheetFormatPr defaultRowHeight="15" x14ac:dyDescent="0.25"/>
  <cols>
    <col min="1" max="1" width="27.85546875" style="2" customWidth="1"/>
    <col min="2" max="2" width="24.7109375" style="2" customWidth="1"/>
    <col min="3" max="3" width="12.28515625" style="2" customWidth="1"/>
    <col min="4" max="4" width="47.85546875" style="2" customWidth="1"/>
    <col min="5" max="5" width="10.140625" style="2" bestFit="1" customWidth="1"/>
    <col min="6" max="6" width="9.140625" style="2"/>
    <col min="7" max="7" width="18.140625" style="2" customWidth="1"/>
    <col min="8" max="8" width="11.42578125" style="2" bestFit="1" customWidth="1"/>
    <col min="9" max="9" width="9.140625" style="2"/>
    <col min="10" max="10" width="10.85546875" style="2" customWidth="1"/>
    <col min="11" max="16384" width="9.140625" style="2"/>
  </cols>
  <sheetData>
    <row r="1" spans="1:12" ht="15.75" thickBot="1" x14ac:dyDescent="0.3">
      <c r="A1" s="1" t="s">
        <v>0</v>
      </c>
      <c r="B1" s="87" t="s">
        <v>22</v>
      </c>
      <c r="C1" s="88"/>
      <c r="D1" s="1" t="s">
        <v>1</v>
      </c>
      <c r="E1" s="27"/>
      <c r="F1" s="1" t="s">
        <v>2</v>
      </c>
      <c r="G1" s="89">
        <v>44818</v>
      </c>
      <c r="H1" s="90"/>
      <c r="I1" s="90"/>
      <c r="J1" s="91"/>
      <c r="K1" s="1"/>
      <c r="L1" s="1"/>
    </row>
    <row r="2" spans="1:12" ht="15.75" thickBot="1" x14ac:dyDescent="0.3">
      <c r="A2" s="34" t="s">
        <v>3</v>
      </c>
      <c r="B2" s="42" t="s">
        <v>4</v>
      </c>
      <c r="C2" s="43" t="s">
        <v>5</v>
      </c>
      <c r="D2" s="43" t="s">
        <v>6</v>
      </c>
      <c r="E2" s="43" t="s">
        <v>7</v>
      </c>
      <c r="F2" s="43" t="s">
        <v>8</v>
      </c>
      <c r="G2" s="43" t="s">
        <v>9</v>
      </c>
      <c r="H2" s="43" t="s">
        <v>10</v>
      </c>
      <c r="I2" s="43" t="s">
        <v>11</v>
      </c>
      <c r="J2" s="44" t="s">
        <v>12</v>
      </c>
    </row>
    <row r="3" spans="1:12" x14ac:dyDescent="0.25">
      <c r="A3" s="92" t="s">
        <v>35</v>
      </c>
      <c r="B3" s="21" t="s">
        <v>13</v>
      </c>
      <c r="C3" s="22" t="s">
        <v>58</v>
      </c>
      <c r="D3" s="22" t="s">
        <v>59</v>
      </c>
      <c r="E3" s="14">
        <v>50</v>
      </c>
      <c r="F3" s="15">
        <v>41.88</v>
      </c>
      <c r="G3" s="31">
        <v>129.15</v>
      </c>
      <c r="H3" s="31">
        <v>17.2</v>
      </c>
      <c r="I3" s="31">
        <v>3.8</v>
      </c>
      <c r="J3" s="32">
        <v>6.6</v>
      </c>
    </row>
    <row r="4" spans="1:12" s="41" customFormat="1" ht="15.75" x14ac:dyDescent="0.25">
      <c r="A4" s="92"/>
      <c r="B4" s="8" t="s">
        <v>17</v>
      </c>
      <c r="C4" s="66" t="s">
        <v>48</v>
      </c>
      <c r="D4" s="69" t="s">
        <v>47</v>
      </c>
      <c r="E4" s="17">
        <v>130</v>
      </c>
      <c r="F4" s="7">
        <v>11.96</v>
      </c>
      <c r="G4" s="64">
        <f>915*0.13</f>
        <v>118.95</v>
      </c>
      <c r="H4" s="64">
        <f>20.43*0.13</f>
        <v>2.6558999999999999</v>
      </c>
      <c r="I4" s="64">
        <f>32.01*0.13</f>
        <v>4.1612999999999998</v>
      </c>
      <c r="J4" s="70">
        <f>136.26*0.13</f>
        <v>17.713799999999999</v>
      </c>
    </row>
    <row r="5" spans="1:12" s="45" customFormat="1" x14ac:dyDescent="0.25">
      <c r="A5" s="92"/>
      <c r="B5" s="8" t="s">
        <v>53</v>
      </c>
      <c r="C5" s="6" t="s">
        <v>54</v>
      </c>
      <c r="D5" s="6" t="s">
        <v>55</v>
      </c>
      <c r="E5" s="17">
        <v>200</v>
      </c>
      <c r="F5" s="7">
        <v>12.22</v>
      </c>
      <c r="G5" s="7">
        <f>573*0.2</f>
        <v>114.60000000000001</v>
      </c>
      <c r="H5" s="7">
        <f>0.8*0.2</f>
        <v>0.16000000000000003</v>
      </c>
      <c r="I5" s="7">
        <f>0.6*0.2</f>
        <v>0.12</v>
      </c>
      <c r="J5" s="9">
        <f>140.4*0.2</f>
        <v>28.080000000000002</v>
      </c>
    </row>
    <row r="6" spans="1:12" x14ac:dyDescent="0.25">
      <c r="A6" s="92"/>
      <c r="B6" s="8" t="s">
        <v>39</v>
      </c>
      <c r="C6" s="6" t="s">
        <v>40</v>
      </c>
      <c r="D6" s="6" t="s">
        <v>43</v>
      </c>
      <c r="E6" s="17">
        <v>15</v>
      </c>
      <c r="F6" s="7">
        <v>2.84</v>
      </c>
      <c r="G6" s="7">
        <f>435*0.15</f>
        <v>65.25</v>
      </c>
      <c r="H6" s="7">
        <f>7.1*0.15</f>
        <v>1.0649999999999999</v>
      </c>
      <c r="I6" s="7">
        <f>15.1*0.15</f>
        <v>2.2649999999999997</v>
      </c>
      <c r="J6" s="9">
        <f>67.7*0.15</f>
        <v>10.154999999999999</v>
      </c>
    </row>
    <row r="7" spans="1:12" ht="15.75" thickBot="1" x14ac:dyDescent="0.3">
      <c r="A7" s="92"/>
      <c r="B7" s="10" t="s">
        <v>14</v>
      </c>
      <c r="C7" s="11" t="s">
        <v>32</v>
      </c>
      <c r="D7" s="11" t="s">
        <v>33</v>
      </c>
      <c r="E7" s="18">
        <v>13.5</v>
      </c>
      <c r="F7" s="19">
        <v>0.6</v>
      </c>
      <c r="G7" s="19">
        <f>229.7*0.135</f>
        <v>31.009499999999999</v>
      </c>
      <c r="H7" s="12">
        <f>6.7*0.135</f>
        <v>0.90450000000000008</v>
      </c>
      <c r="I7" s="12">
        <f>1.1*0.135</f>
        <v>0.14850000000000002</v>
      </c>
      <c r="J7" s="13">
        <f>48.3*0.135</f>
        <v>6.5205000000000002</v>
      </c>
    </row>
    <row r="8" spans="1:12" ht="16.5" thickBot="1" x14ac:dyDescent="0.3">
      <c r="A8" s="93" t="s">
        <v>15</v>
      </c>
      <c r="B8" s="94"/>
      <c r="C8" s="94"/>
      <c r="D8" s="94"/>
      <c r="E8" s="95"/>
      <c r="F8" s="20">
        <f>SUM(F3:F7)</f>
        <v>69.5</v>
      </c>
      <c r="G8" s="20">
        <f t="shared" ref="G8:J8" si="0">SUM(G3:G7)</f>
        <v>458.95950000000005</v>
      </c>
      <c r="H8" s="20">
        <f t="shared" si="0"/>
        <v>21.985399999999998</v>
      </c>
      <c r="I8" s="20">
        <f t="shared" si="0"/>
        <v>10.4948</v>
      </c>
      <c r="J8" s="20">
        <f t="shared" si="0"/>
        <v>69.069299999999998</v>
      </c>
    </row>
    <row r="9" spans="1:12" s="28" customFormat="1" ht="30" x14ac:dyDescent="0.25">
      <c r="A9" s="96" t="s">
        <v>36</v>
      </c>
      <c r="B9" s="60" t="s">
        <v>31</v>
      </c>
      <c r="C9" s="59" t="s">
        <v>77</v>
      </c>
      <c r="D9" s="59" t="s">
        <v>78</v>
      </c>
      <c r="E9" s="14">
        <v>12</v>
      </c>
      <c r="F9" s="15">
        <v>8.2899999999999991</v>
      </c>
      <c r="G9" s="15">
        <f>592*0.012</f>
        <v>7.1040000000000001</v>
      </c>
      <c r="H9" s="15">
        <f>28.85*0.012</f>
        <v>0.34620000000000001</v>
      </c>
      <c r="I9" s="15">
        <f>27.24*0.012</f>
        <v>0.32688</v>
      </c>
      <c r="J9" s="16">
        <f>57.86*0.012</f>
        <v>0.69432000000000005</v>
      </c>
      <c r="K9"/>
    </row>
    <row r="10" spans="1:12" s="73" customFormat="1" ht="15.75" x14ac:dyDescent="0.25">
      <c r="A10" s="97"/>
      <c r="B10" s="8" t="s">
        <v>17</v>
      </c>
      <c r="C10" s="66" t="s">
        <v>48</v>
      </c>
      <c r="D10" s="69" t="s">
        <v>47</v>
      </c>
      <c r="E10" s="17">
        <v>150</v>
      </c>
      <c r="F10" s="7">
        <v>13.8</v>
      </c>
      <c r="G10" s="64">
        <f>915*0.15</f>
        <v>137.25</v>
      </c>
      <c r="H10" s="64">
        <f>20.43*0.15</f>
        <v>3.0644999999999998</v>
      </c>
      <c r="I10" s="64">
        <f>32.01*0.15</f>
        <v>4.8014999999999999</v>
      </c>
      <c r="J10" s="70">
        <f>136.26*0.15</f>
        <v>20.438999999999997</v>
      </c>
      <c r="K10"/>
    </row>
    <row r="11" spans="1:12" s="28" customFormat="1" x14ac:dyDescent="0.25">
      <c r="A11" s="97"/>
      <c r="B11" s="8" t="s">
        <v>18</v>
      </c>
      <c r="C11" s="6" t="s">
        <v>60</v>
      </c>
      <c r="D11" s="6" t="s">
        <v>61</v>
      </c>
      <c r="E11" s="17" t="s">
        <v>62</v>
      </c>
      <c r="F11" s="7">
        <v>4.03</v>
      </c>
      <c r="G11" s="7">
        <v>62</v>
      </c>
      <c r="H11" s="7">
        <v>0.13</v>
      </c>
      <c r="I11" s="7">
        <v>0.02</v>
      </c>
      <c r="J11" s="9">
        <v>15.2</v>
      </c>
    </row>
    <row r="12" spans="1:12" s="30" customFormat="1" ht="15.75" thickBot="1" x14ac:dyDescent="0.3">
      <c r="A12" s="98"/>
      <c r="B12" s="10" t="s">
        <v>14</v>
      </c>
      <c r="C12" s="11" t="s">
        <v>32</v>
      </c>
      <c r="D12" s="11" t="s">
        <v>33</v>
      </c>
      <c r="E12" s="18">
        <v>19.5</v>
      </c>
      <c r="F12" s="19">
        <v>0.88</v>
      </c>
      <c r="G12" s="19">
        <f>229.7*0.195</f>
        <v>44.791499999999999</v>
      </c>
      <c r="H12" s="12">
        <f>6.7*0.195</f>
        <v>1.3065</v>
      </c>
      <c r="I12" s="12">
        <f>1.1*0.195</f>
        <v>0.21450000000000002</v>
      </c>
      <c r="J12" s="13">
        <f>48.3*0.195</f>
        <v>9.4184999999999999</v>
      </c>
    </row>
    <row r="13" spans="1:12" ht="16.5" thickBot="1" x14ac:dyDescent="0.3">
      <c r="A13" s="99" t="s">
        <v>15</v>
      </c>
      <c r="B13" s="94"/>
      <c r="C13" s="94"/>
      <c r="D13" s="94"/>
      <c r="E13" s="95"/>
      <c r="F13" s="20">
        <f>SUM(F9:F12)</f>
        <v>27</v>
      </c>
      <c r="G13" s="20">
        <f>SUM(G9:G12)</f>
        <v>251.14550000000003</v>
      </c>
      <c r="H13" s="20">
        <f>SUM(H9:H12)</f>
        <v>4.8472</v>
      </c>
      <c r="I13" s="20">
        <f>SUM(I9:I12)</f>
        <v>5.3628799999999996</v>
      </c>
      <c r="J13" s="20">
        <f>SUM(J9:J12)</f>
        <v>45.751820000000002</v>
      </c>
    </row>
    <row r="14" spans="1:12" s="29" customFormat="1" x14ac:dyDescent="0.25">
      <c r="A14" s="78" t="s">
        <v>37</v>
      </c>
      <c r="B14" s="21" t="s">
        <v>31</v>
      </c>
      <c r="C14" s="22" t="s">
        <v>50</v>
      </c>
      <c r="D14" s="22" t="s">
        <v>49</v>
      </c>
      <c r="E14" s="63" t="s">
        <v>80</v>
      </c>
      <c r="F14" s="15">
        <v>4.5</v>
      </c>
      <c r="G14" s="15">
        <f>660*0.03+229.7*0.26</f>
        <v>79.522000000000006</v>
      </c>
      <c r="H14" s="15">
        <f>0.8*0.03+6.7*0.26</f>
        <v>1.7660000000000002</v>
      </c>
      <c r="I14" s="15">
        <f>72.5*0.03+1.1*0.26</f>
        <v>2.4609999999999999</v>
      </c>
      <c r="J14" s="16">
        <f>1.3*0.03+48.3*0.26</f>
        <v>12.597</v>
      </c>
    </row>
    <row r="15" spans="1:12" s="29" customFormat="1" ht="15.75" thickBot="1" x14ac:dyDescent="0.3">
      <c r="A15" s="79"/>
      <c r="B15" s="10" t="s">
        <v>18</v>
      </c>
      <c r="C15" s="11" t="s">
        <v>19</v>
      </c>
      <c r="D15" s="11" t="s">
        <v>20</v>
      </c>
      <c r="E15" s="18" t="s">
        <v>34</v>
      </c>
      <c r="F15" s="19">
        <v>2.5</v>
      </c>
      <c r="G15" s="19">
        <v>60</v>
      </c>
      <c r="H15" s="19">
        <v>7.0000000000000007E-2</v>
      </c>
      <c r="I15" s="19">
        <v>0.02</v>
      </c>
      <c r="J15" s="33">
        <v>15</v>
      </c>
    </row>
    <row r="16" spans="1:12" ht="16.5" thickBot="1" x14ac:dyDescent="0.3">
      <c r="A16" s="80" t="s">
        <v>15</v>
      </c>
      <c r="B16" s="81"/>
      <c r="C16" s="81"/>
      <c r="D16" s="81"/>
      <c r="E16" s="82"/>
      <c r="F16" s="20">
        <f>SUM(F14:F15)</f>
        <v>7</v>
      </c>
      <c r="G16" s="20">
        <f>SUM(G14:G15)</f>
        <v>139.52199999999999</v>
      </c>
      <c r="H16" s="20">
        <f t="shared" ref="H16:J16" si="1">SUM(H14:H15)</f>
        <v>1.8360000000000003</v>
      </c>
      <c r="I16" s="20">
        <f t="shared" si="1"/>
        <v>2.4809999999999999</v>
      </c>
      <c r="J16" s="20">
        <f t="shared" si="1"/>
        <v>27.597000000000001</v>
      </c>
    </row>
    <row r="17" spans="1:10" x14ac:dyDescent="0.25">
      <c r="A17" s="83" t="s">
        <v>38</v>
      </c>
      <c r="B17" s="21" t="s">
        <v>16</v>
      </c>
      <c r="C17" s="22" t="s">
        <v>65</v>
      </c>
      <c r="D17" s="110" t="s">
        <v>66</v>
      </c>
      <c r="E17" s="14" t="s">
        <v>67</v>
      </c>
      <c r="F17" s="15">
        <v>7.09</v>
      </c>
      <c r="G17" s="71">
        <f>593*0.25</f>
        <v>148.25</v>
      </c>
      <c r="H17" s="71">
        <f>21.96*0.25</f>
        <v>5.49</v>
      </c>
      <c r="I17" s="71">
        <f>21.08*0.25</f>
        <v>5.27</v>
      </c>
      <c r="J17" s="72">
        <f>66.14*0.25</f>
        <v>16.535</v>
      </c>
    </row>
    <row r="18" spans="1:10" s="62" customFormat="1" x14ac:dyDescent="0.25">
      <c r="A18" s="83"/>
      <c r="B18" s="8" t="s">
        <v>13</v>
      </c>
      <c r="C18" s="6" t="s">
        <v>63</v>
      </c>
      <c r="D18" s="6" t="s">
        <v>64</v>
      </c>
      <c r="E18" s="17">
        <v>50</v>
      </c>
      <c r="F18" s="7">
        <v>17.559999999999999</v>
      </c>
      <c r="G18" s="25">
        <f>182/50*50</f>
        <v>182</v>
      </c>
      <c r="H18" s="25">
        <f>6.74/50*50</f>
        <v>6.74</v>
      </c>
      <c r="I18" s="25">
        <f>13.91/50*50</f>
        <v>13.91</v>
      </c>
      <c r="J18" s="26">
        <f>7.09/50*50</f>
        <v>7.0900000000000007</v>
      </c>
    </row>
    <row r="19" spans="1:10" s="58" customFormat="1" ht="15.75" x14ac:dyDescent="0.25">
      <c r="A19" s="83"/>
      <c r="B19" s="8" t="s">
        <v>17</v>
      </c>
      <c r="C19" s="6" t="s">
        <v>46</v>
      </c>
      <c r="D19" s="116" t="s">
        <v>44</v>
      </c>
      <c r="E19" s="17" t="s">
        <v>45</v>
      </c>
      <c r="F19" s="7">
        <v>11.73</v>
      </c>
      <c r="G19" s="25">
        <f>137*1.2</f>
        <v>164.4</v>
      </c>
      <c r="H19" s="64">
        <f>3.82*1.2</f>
        <v>4.5839999999999996</v>
      </c>
      <c r="I19" s="64">
        <f>4.05*1.2</f>
        <v>4.8599999999999994</v>
      </c>
      <c r="J19" s="70">
        <f>21.32*1.2</f>
        <v>25.584</v>
      </c>
    </row>
    <row r="20" spans="1:10" s="58" customFormat="1" x14ac:dyDescent="0.25">
      <c r="A20" s="83"/>
      <c r="B20" s="8" t="s">
        <v>18</v>
      </c>
      <c r="C20" s="6" t="s">
        <v>19</v>
      </c>
      <c r="D20" s="6" t="s">
        <v>20</v>
      </c>
      <c r="E20" s="17" t="s">
        <v>34</v>
      </c>
      <c r="F20" s="7">
        <v>2.5</v>
      </c>
      <c r="G20" s="7">
        <v>60</v>
      </c>
      <c r="H20" s="7">
        <v>7.0000000000000007E-2</v>
      </c>
      <c r="I20" s="7">
        <v>0.02</v>
      </c>
      <c r="J20" s="9">
        <v>15</v>
      </c>
    </row>
    <row r="21" spans="1:10" x14ac:dyDescent="0.25">
      <c r="A21" s="83"/>
      <c r="B21" s="8" t="s">
        <v>39</v>
      </c>
      <c r="C21" s="6" t="s">
        <v>40</v>
      </c>
      <c r="D21" s="6" t="s">
        <v>73</v>
      </c>
      <c r="E21" s="17">
        <v>35</v>
      </c>
      <c r="F21" s="7">
        <v>8.2899999999999991</v>
      </c>
      <c r="G21" s="7">
        <v>122.5</v>
      </c>
      <c r="H21" s="7">
        <v>1.75</v>
      </c>
      <c r="I21" s="7">
        <v>2.1</v>
      </c>
      <c r="J21" s="9">
        <v>24.15</v>
      </c>
    </row>
    <row r="22" spans="1:10" s="73" customFormat="1" x14ac:dyDescent="0.25">
      <c r="A22" s="83"/>
      <c r="B22" s="8" t="s">
        <v>14</v>
      </c>
      <c r="C22" s="6" t="s">
        <v>32</v>
      </c>
      <c r="D22" s="6" t="s">
        <v>33</v>
      </c>
      <c r="E22" s="17">
        <v>17</v>
      </c>
      <c r="F22" s="7">
        <v>0.77</v>
      </c>
      <c r="G22" s="7">
        <f>229.7*0.17</f>
        <v>39.048999999999999</v>
      </c>
      <c r="H22" s="117">
        <f>6.7*0.17</f>
        <v>1.139</v>
      </c>
      <c r="I22" s="117">
        <f>1.1*0.17</f>
        <v>0.18700000000000003</v>
      </c>
      <c r="J22" s="121">
        <f>48.3*0.17</f>
        <v>8.2110000000000003</v>
      </c>
    </row>
    <row r="23" spans="1:10" ht="15.75" thickBot="1" x14ac:dyDescent="0.3">
      <c r="A23" s="83"/>
      <c r="B23" s="10" t="s">
        <v>41</v>
      </c>
      <c r="C23" s="11" t="s">
        <v>42</v>
      </c>
      <c r="D23" s="11" t="s">
        <v>76</v>
      </c>
      <c r="E23" s="18">
        <v>135</v>
      </c>
      <c r="F23" s="19">
        <v>21.56</v>
      </c>
      <c r="G23" s="56">
        <f>43*1.35</f>
        <v>58.050000000000004</v>
      </c>
      <c r="H23" s="56">
        <f>0.9*1.35</f>
        <v>1.2150000000000001</v>
      </c>
      <c r="I23" s="56">
        <f>0.2*1.35</f>
        <v>0.27</v>
      </c>
      <c r="J23" s="57">
        <f>8.1*1.35</f>
        <v>10.935</v>
      </c>
    </row>
    <row r="24" spans="1:10" ht="16.5" thickBot="1" x14ac:dyDescent="0.3">
      <c r="A24" s="80" t="s">
        <v>15</v>
      </c>
      <c r="B24" s="118"/>
      <c r="C24" s="118"/>
      <c r="D24" s="118"/>
      <c r="E24" s="119"/>
      <c r="F24" s="120">
        <f>SUM(F17:F23)</f>
        <v>69.5</v>
      </c>
      <c r="G24" s="120">
        <f t="shared" ref="G24:J24" si="2">SUM(G17:G23)</f>
        <v>774.24899999999991</v>
      </c>
      <c r="H24" s="120">
        <f t="shared" si="2"/>
        <v>20.988</v>
      </c>
      <c r="I24" s="120">
        <f t="shared" si="2"/>
        <v>26.617000000000001</v>
      </c>
      <c r="J24" s="120">
        <f t="shared" si="2"/>
        <v>107.50500000000001</v>
      </c>
    </row>
    <row r="25" spans="1:10" s="38" customFormat="1" x14ac:dyDescent="0.25">
      <c r="A25" s="86" t="s">
        <v>79</v>
      </c>
      <c r="B25" s="21" t="s">
        <v>16</v>
      </c>
      <c r="C25" s="22" t="s">
        <v>65</v>
      </c>
      <c r="D25" s="110" t="s">
        <v>66</v>
      </c>
      <c r="E25" s="14" t="s">
        <v>67</v>
      </c>
      <c r="F25" s="15">
        <v>7.09</v>
      </c>
      <c r="G25" s="71">
        <f>593*0.25</f>
        <v>148.25</v>
      </c>
      <c r="H25" s="71">
        <f>21.96*0.25</f>
        <v>5.49</v>
      </c>
      <c r="I25" s="71">
        <f>21.08*0.25</f>
        <v>5.27</v>
      </c>
      <c r="J25" s="72">
        <f>66.14*0.25</f>
        <v>16.535</v>
      </c>
    </row>
    <row r="26" spans="1:10" x14ac:dyDescent="0.25">
      <c r="A26" s="86"/>
      <c r="B26" s="8" t="s">
        <v>13</v>
      </c>
      <c r="C26" s="6" t="s">
        <v>63</v>
      </c>
      <c r="D26" s="6" t="s">
        <v>64</v>
      </c>
      <c r="E26" s="17">
        <v>60</v>
      </c>
      <c r="F26" s="7">
        <v>21.07</v>
      </c>
      <c r="G26" s="25">
        <f>182/50*60</f>
        <v>218.4</v>
      </c>
      <c r="H26" s="25">
        <f>6.74/50*60</f>
        <v>8.088000000000001</v>
      </c>
      <c r="I26" s="25">
        <f>13.91/50*60</f>
        <v>16.692</v>
      </c>
      <c r="J26" s="26">
        <f>7.09/50*60</f>
        <v>8.5080000000000009</v>
      </c>
    </row>
    <row r="27" spans="1:10" s="58" customFormat="1" ht="15.75" x14ac:dyDescent="0.25">
      <c r="A27" s="86"/>
      <c r="B27" s="8" t="s">
        <v>17</v>
      </c>
      <c r="C27" s="6" t="s">
        <v>46</v>
      </c>
      <c r="D27" s="61" t="s">
        <v>44</v>
      </c>
      <c r="E27" s="17" t="s">
        <v>45</v>
      </c>
      <c r="F27" s="7">
        <v>11.73</v>
      </c>
      <c r="G27" s="25">
        <f>137*1.2</f>
        <v>164.4</v>
      </c>
      <c r="H27" s="65">
        <f>3.82*1.2</f>
        <v>4.5839999999999996</v>
      </c>
      <c r="I27" s="65">
        <f>4.05*1.2</f>
        <v>4.8599999999999994</v>
      </c>
      <c r="J27" s="65">
        <f>21.32*1.2</f>
        <v>25.584</v>
      </c>
    </row>
    <row r="28" spans="1:10" x14ac:dyDescent="0.25">
      <c r="A28" s="86"/>
      <c r="B28" s="8" t="s">
        <v>18</v>
      </c>
      <c r="C28" s="6" t="s">
        <v>60</v>
      </c>
      <c r="D28" s="6" t="s">
        <v>61</v>
      </c>
      <c r="E28" s="17" t="s">
        <v>62</v>
      </c>
      <c r="F28" s="7">
        <v>4.03</v>
      </c>
      <c r="G28" s="7">
        <v>62</v>
      </c>
      <c r="H28" s="7">
        <v>0.13</v>
      </c>
      <c r="I28" s="7">
        <v>0.02</v>
      </c>
      <c r="J28" s="9">
        <v>15.2</v>
      </c>
    </row>
    <row r="29" spans="1:10" ht="15.75" thickBot="1" x14ac:dyDescent="0.3">
      <c r="A29" s="86"/>
      <c r="B29" s="10" t="s">
        <v>14</v>
      </c>
      <c r="C29" s="11" t="s">
        <v>32</v>
      </c>
      <c r="D29" s="11" t="s">
        <v>33</v>
      </c>
      <c r="E29" s="18">
        <v>24</v>
      </c>
      <c r="F29" s="19">
        <v>1.08</v>
      </c>
      <c r="G29" s="19">
        <f>229.7*0.24</f>
        <v>55.127999999999993</v>
      </c>
      <c r="H29" s="12">
        <f>6.7*0.24</f>
        <v>1.6079999999999999</v>
      </c>
      <c r="I29" s="12">
        <f>1.1*0.24</f>
        <v>0.26400000000000001</v>
      </c>
      <c r="J29" s="13">
        <f>48.3*0.24</f>
        <v>11.591999999999999</v>
      </c>
    </row>
    <row r="30" spans="1:10" ht="16.5" thickBot="1" x14ac:dyDescent="0.3">
      <c r="A30" s="80" t="s">
        <v>15</v>
      </c>
      <c r="B30" s="84"/>
      <c r="C30" s="84"/>
      <c r="D30" s="84"/>
      <c r="E30" s="85"/>
      <c r="F30" s="23">
        <f>SUM(F25:F29)</f>
        <v>45</v>
      </c>
      <c r="G30" s="23">
        <f>SUM(G25:G29)</f>
        <v>648.178</v>
      </c>
      <c r="H30" s="23">
        <f>SUM(H25:H29)</f>
        <v>19.899999999999999</v>
      </c>
      <c r="I30" s="23">
        <f>SUM(I25:I29)</f>
        <v>27.105999999999998</v>
      </c>
      <c r="J30" s="23">
        <f>SUM(J25:J29)</f>
        <v>77.418999999999997</v>
      </c>
    </row>
    <row r="32" spans="1:10" ht="15.75" thickBot="1" x14ac:dyDescent="0.3">
      <c r="A32" s="74" t="s">
        <v>25</v>
      </c>
      <c r="B32" s="74"/>
      <c r="C32" s="74"/>
      <c r="D32" s="74"/>
      <c r="E32" s="74"/>
      <c r="F32" s="74"/>
      <c r="G32" s="74"/>
      <c r="H32" s="74"/>
      <c r="I32" s="74"/>
      <c r="J32" s="74"/>
    </row>
    <row r="33" spans="1:10" ht="15.75" x14ac:dyDescent="0.25">
      <c r="A33" s="24"/>
      <c r="B33" s="24"/>
      <c r="C33" s="75" t="s">
        <v>23</v>
      </c>
      <c r="D33" s="75"/>
      <c r="G33" s="76"/>
      <c r="H33" s="76"/>
      <c r="I33" s="76"/>
      <c r="J33" s="76"/>
    </row>
    <row r="34" spans="1:10" x14ac:dyDescent="0.25">
      <c r="A34" s="1"/>
      <c r="B34" s="1"/>
      <c r="C34" s="1"/>
      <c r="D34" s="1"/>
    </row>
    <row r="35" spans="1:10" x14ac:dyDescent="0.25">
      <c r="A35" s="77" t="s">
        <v>24</v>
      </c>
      <c r="B35" s="77"/>
    </row>
    <row r="36" spans="1:10" x14ac:dyDescent="0.25">
      <c r="A36" s="77" t="s">
        <v>26</v>
      </c>
      <c r="B36" s="77"/>
    </row>
    <row r="37" spans="1:10" x14ac:dyDescent="0.25">
      <c r="A37" s="4"/>
    </row>
  </sheetData>
  <mergeCells count="17">
    <mergeCell ref="B1:C1"/>
    <mergeCell ref="G1:J1"/>
    <mergeCell ref="A3:A7"/>
    <mergeCell ref="A8:E8"/>
    <mergeCell ref="A17:A23"/>
    <mergeCell ref="A35:B35"/>
    <mergeCell ref="A36:B36"/>
    <mergeCell ref="A9:A12"/>
    <mergeCell ref="A13:E13"/>
    <mergeCell ref="A14:A15"/>
    <mergeCell ref="A16:E16"/>
    <mergeCell ref="A25:A29"/>
    <mergeCell ref="A30:E30"/>
    <mergeCell ref="A32:J32"/>
    <mergeCell ref="C33:D33"/>
    <mergeCell ref="G33:J33"/>
    <mergeCell ref="A24:E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</vt:lpstr>
      <vt:lpstr>5-11 кл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2022-09-13T12:29:58Z</dcterms:modified>
</cp:coreProperties>
</file>