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-4 кл" sheetId="1" r:id="rId1"/>
    <sheet name="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I28" i="2"/>
  <c r="H28" i="2"/>
  <c r="G28" i="2"/>
  <c r="J24" i="2"/>
  <c r="I24" i="2"/>
  <c r="H24" i="2"/>
  <c r="G24" i="2"/>
  <c r="J25" i="2"/>
  <c r="I25" i="2"/>
  <c r="H25" i="2"/>
  <c r="G25" i="2"/>
  <c r="J19" i="2"/>
  <c r="I19" i="2"/>
  <c r="H19" i="2"/>
  <c r="G19" i="2"/>
  <c r="J18" i="2"/>
  <c r="I18" i="2"/>
  <c r="H18" i="2"/>
  <c r="G18" i="2"/>
  <c r="J9" i="2"/>
  <c r="I9" i="2"/>
  <c r="H9" i="2"/>
  <c r="G9" i="2"/>
  <c r="J12" i="2"/>
  <c r="I12" i="2"/>
  <c r="H12" i="2"/>
  <c r="G12" i="2"/>
  <c r="J10" i="2"/>
  <c r="I10" i="2"/>
  <c r="H10" i="2"/>
  <c r="G10" i="2"/>
  <c r="G8" i="2"/>
  <c r="H8" i="2"/>
  <c r="I8" i="2"/>
  <c r="J8" i="2"/>
  <c r="F8" i="2"/>
  <c r="J7" i="2"/>
  <c r="I7" i="2"/>
  <c r="H7" i="2"/>
  <c r="G7" i="2"/>
  <c r="J6" i="2" l="1"/>
  <c r="I6" i="2"/>
  <c r="H6" i="2"/>
  <c r="G6" i="2"/>
  <c r="J4" i="2"/>
  <c r="I4" i="2"/>
  <c r="H4" i="2"/>
  <c r="G4" i="2"/>
  <c r="J3" i="2"/>
  <c r="I3" i="2"/>
  <c r="H3" i="2"/>
  <c r="G3" i="2"/>
  <c r="J25" i="1"/>
  <c r="I25" i="1"/>
  <c r="H25" i="1"/>
  <c r="G25" i="1"/>
  <c r="G24" i="1" l="1"/>
  <c r="J22" i="1"/>
  <c r="I22" i="1"/>
  <c r="H22" i="1"/>
  <c r="G22" i="1"/>
  <c r="J20" i="1" l="1"/>
  <c r="I20" i="1"/>
  <c r="H20" i="1"/>
  <c r="G20" i="1"/>
  <c r="J19" i="1"/>
  <c r="I19" i="1"/>
  <c r="H19" i="1"/>
  <c r="G19" i="1"/>
  <c r="J18" i="1"/>
  <c r="I18" i="1"/>
  <c r="H18" i="1"/>
  <c r="G18" i="1"/>
  <c r="J16" i="1"/>
  <c r="I16" i="1"/>
  <c r="H16" i="1"/>
  <c r="G16" i="1"/>
  <c r="J14" i="1" l="1"/>
  <c r="I14" i="1"/>
  <c r="H14" i="1"/>
  <c r="G14" i="1"/>
  <c r="J12" i="1"/>
  <c r="I12" i="1"/>
  <c r="H12" i="1"/>
  <c r="G12" i="1"/>
  <c r="J11" i="1"/>
  <c r="I11" i="1"/>
  <c r="H11" i="1"/>
  <c r="G11" i="1"/>
  <c r="F9" i="1"/>
  <c r="J8" i="1"/>
  <c r="I8" i="1"/>
  <c r="H8" i="1"/>
  <c r="G8" i="1"/>
  <c r="J7" i="1"/>
  <c r="I7" i="1"/>
  <c r="H7" i="1"/>
  <c r="G7" i="1"/>
  <c r="J6" i="1"/>
  <c r="I6" i="1"/>
  <c r="H6" i="1"/>
  <c r="G6" i="1"/>
  <c r="J4" i="1"/>
  <c r="I4" i="1"/>
  <c r="H4" i="1"/>
  <c r="G4" i="1"/>
  <c r="J3" i="1"/>
  <c r="J9" i="1" s="1"/>
  <c r="I3" i="1"/>
  <c r="I9" i="1" s="1"/>
  <c r="H3" i="1"/>
  <c r="H9" i="1" s="1"/>
  <c r="G3" i="1"/>
  <c r="G9" i="1" s="1"/>
  <c r="J21" i="2" l="1"/>
  <c r="I21" i="2"/>
  <c r="H21" i="2"/>
  <c r="G21" i="2"/>
  <c r="J14" i="2"/>
  <c r="I14" i="2"/>
  <c r="H14" i="2"/>
  <c r="G14" i="2"/>
  <c r="G16" i="2" l="1"/>
  <c r="F23" i="1" l="1"/>
  <c r="J23" i="1" l="1"/>
  <c r="I23" i="1"/>
  <c r="H23" i="1"/>
  <c r="G23" i="1"/>
  <c r="F15" i="1" l="1"/>
  <c r="J29" i="2" l="1"/>
  <c r="H29" i="2"/>
  <c r="F29" i="2"/>
  <c r="G29" i="2"/>
  <c r="I29" i="2"/>
  <c r="G26" i="1" l="1"/>
  <c r="H26" i="1"/>
  <c r="I26" i="1"/>
  <c r="J26" i="1"/>
  <c r="F26" i="1"/>
  <c r="J15" i="1" l="1"/>
  <c r="H15" i="1"/>
  <c r="G15" i="1"/>
  <c r="I15" i="1" l="1"/>
  <c r="F16" i="2" l="1"/>
  <c r="H16" i="2"/>
  <c r="F13" i="2"/>
  <c r="G13" i="2" l="1"/>
  <c r="I13" i="2"/>
  <c r="J16" i="2"/>
  <c r="H13" i="2"/>
  <c r="J13" i="2"/>
  <c r="I16" i="2"/>
  <c r="F22" i="2" l="1"/>
  <c r="J22" i="2" l="1"/>
  <c r="I22" i="2"/>
  <c r="H22" i="2"/>
  <c r="G22" i="2"/>
</calcChain>
</file>

<file path=xl/sharedStrings.xml><?xml version="1.0" encoding="utf-8"?>
<sst xmlns="http://schemas.openxmlformats.org/spreadsheetml/2006/main" count="196" uniqueCount="77">
  <si>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</si>
  <si>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</si>
  <si>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</si>
  <si>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</si>
  <si>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</si>
  <si>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</si>
  <si>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</si>
  <si>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</si>
  <si>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</si>
  <si>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</si>
  <si>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</si>
  <si>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</si>
  <si>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</si>
  <si>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</si>
  <si>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</si>
  <si>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</si>
  <si>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</si>
  <si>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</si>
  <si>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</si>
  <si>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</si>
  <si>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</si>
  <si>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</si>
  <si>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</si>
  <si>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</si>
  <si>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</si>
  <si>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</si>
  <si>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</si>
  <si>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</si>
  <si>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</si>
  <si>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</si>
  <si>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</si>
  <si>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</si>
  <si>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</si>
  <si>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</si>
  <si>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</si>
  <si>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</si>
  <si>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</si>
  <si>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№2-2015г.</t>
  </si>
  <si>
    <t>Бутерброд с повидлом</t>
  </si>
  <si>
    <t>№71-2015г.</t>
  </si>
  <si>
    <t>Фрукт</t>
  </si>
  <si>
    <t>№338-2015г.</t>
  </si>
  <si>
    <t>Завтрак 1-4 кл и дети-инвалиды 1 смена</t>
  </si>
  <si>
    <t>ТТК №50</t>
  </si>
  <si>
    <t>Блинчик со сгущённым молоком</t>
  </si>
  <si>
    <t>20/36</t>
  </si>
  <si>
    <t>№410,468-2015г.</t>
  </si>
  <si>
    <t>№295-2015г.</t>
  </si>
  <si>
    <t>Котлета рубленая из бройлер-цыплят</t>
  </si>
  <si>
    <t>Напиток (сладкое блюдо)</t>
  </si>
  <si>
    <t>№342-2015г.</t>
  </si>
  <si>
    <t>Компот из свежих груш</t>
  </si>
  <si>
    <t>ПР</t>
  </si>
  <si>
    <t>Фрукт свежий (груша)</t>
  </si>
  <si>
    <t>№260-2015г.</t>
  </si>
  <si>
    <t>Кисломолочный продукт</t>
  </si>
  <si>
    <t>Биойогурт "Славянский"</t>
  </si>
  <si>
    <t>ТТК №6</t>
  </si>
  <si>
    <t>Булочка "Рулетик с маком"</t>
  </si>
  <si>
    <t>250/2</t>
  </si>
  <si>
    <t>№304-2015г.</t>
  </si>
  <si>
    <t>Рис отварной</t>
  </si>
  <si>
    <t>№321-2015г.</t>
  </si>
  <si>
    <t>Капуста тушёная</t>
  </si>
  <si>
    <t>№111-2015г.</t>
  </si>
  <si>
    <t>Суп с макаронными изделиями с зеленью</t>
  </si>
  <si>
    <t>Гуляш из говядины</t>
  </si>
  <si>
    <t>15/15</t>
  </si>
  <si>
    <t>Овощи натуральные свежие (помидоры)</t>
  </si>
  <si>
    <t>38/38</t>
  </si>
  <si>
    <t>№425-2015г.</t>
  </si>
  <si>
    <t>Булочка дорожная</t>
  </si>
  <si>
    <t>Ватрушка из дрожжевого теста с фаршем творожным</t>
  </si>
  <si>
    <t>Апельсин свежий (порция)</t>
  </si>
  <si>
    <t>Завтрак 5-11 кл с доплатой 70,00 руб. и льготники с доплатой 50,00 руб. 1 смена</t>
  </si>
  <si>
    <t>Обед 6-7 кл. 2-я смена с доплатой 70,00 руб.</t>
  </si>
  <si>
    <t>33/33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</si>
</sst>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/>
    <xf numFmtId="2" fontId="5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2" fontId="4" fillId="0" borderId="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2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2" fontId="4" fillId="0" borderId="16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5" fillId="0" borderId="23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2" fontId="8" fillId="0" borderId="5" xfId="0" applyNumberFormat="1" applyFont="1" applyBorder="1" applyAlignment="1">
      <alignment horizontal="right" vertical="center" wrapText="1"/>
    </xf>
    <xf numFmtId="2" fontId="8" fillId="0" borderId="13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/>
    <xf numFmtId="2" fontId="5" fillId="0" borderId="29" xfId="0" applyNumberFormat="1" applyFont="1" applyBorder="1" applyAlignment="1">
      <alignment vertical="center" wrapText="1"/>
    </xf>
    <xf numFmtId="0" fontId="4" fillId="0" borderId="0" xfId="0" applyFont="1"/>
    <xf numFmtId="0" fontId="4" fillId="0" borderId="0" xfId="0" applyFont="1"/>
    <xf numFmtId="2" fontId="8" fillId="0" borderId="10" xfId="0" applyNumberFormat="1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4" fillId="0" borderId="33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4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1" xfId="0" applyFont="1" applyBorder="1" applyAlignment="1">
      <alignment horizontal="right" vertical="center" wrapText="1"/>
    </xf>
    <xf numFmtId="2" fontId="4" fillId="0" borderId="41" xfId="0" applyNumberFormat="1" applyFont="1" applyBorder="1" applyAlignment="1">
      <alignment horizontal="right" vertical="center" wrapText="1"/>
    </xf>
    <xf numFmtId="2" fontId="8" fillId="0" borderId="41" xfId="0" applyNumberFormat="1" applyFont="1" applyBorder="1" applyAlignment="1">
      <alignment horizontal="right" vertical="center" wrapText="1"/>
    </xf>
    <xf numFmtId="2" fontId="8" fillId="0" borderId="42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2" fontId="4" fillId="0" borderId="5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0" xfId="0" applyFont="1"/>
    <xf numFmtId="0" fontId="5" fillId="0" borderId="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5" fillId="0" borderId="23" xfId="0" applyFont="1" applyBorder="1" applyAlignment="1">
      <alignment horizontal="right" vertical="center" wrapText="1"/>
    </xf>
    <xf numFmtId="2" fontId="8" fillId="0" borderId="10" xfId="2" applyNumberFormat="1" applyFont="1" applyBorder="1" applyAlignment="1">
      <alignment horizontal="right" vertical="center" wrapText="1"/>
    </xf>
    <xf numFmtId="2" fontId="8" fillId="0" borderId="11" xfId="2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right" vertical="center" wrapText="1"/>
    </xf>
    <xf numFmtId="0" fontId="5" fillId="0" borderId="44" xfId="0" applyFont="1" applyBorder="1" applyAlignment="1">
      <alignment horizontal="right" vertical="center" wrapText="1"/>
    </xf>
    <xf numFmtId="2" fontId="5" fillId="0" borderId="34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0" xfId="2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4" workbookViewId="0">
      <selection activeCell="B21" sqref="B21:J21"/>
    </sheetView>
  </sheetViews>
  <sheetFormatPr defaultRowHeight="15" x14ac:dyDescent="0.25"/>
  <cols>
    <col min="1" max="1" width="20.140625" style="2" customWidth="1"/>
    <col min="2" max="2" width="24.710937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9" t="s">
        <v>22</v>
      </c>
      <c r="C1" s="80"/>
      <c r="D1" s="1" t="s">
        <v>1</v>
      </c>
      <c r="E1" s="27"/>
      <c r="F1" s="1" t="s">
        <v>2</v>
      </c>
      <c r="G1" s="81">
        <v>44819</v>
      </c>
      <c r="H1" s="82"/>
      <c r="I1" s="82"/>
      <c r="J1" s="83"/>
      <c r="K1" s="1"/>
      <c r="L1" s="1"/>
    </row>
    <row r="2" spans="1:12" ht="15.75" thickBot="1" x14ac:dyDescent="0.3">
      <c r="A2" s="35" t="s">
        <v>3</v>
      </c>
      <c r="B2" s="5" t="s">
        <v>4</v>
      </c>
      <c r="C2" s="36" t="s">
        <v>5</v>
      </c>
      <c r="D2" s="40" t="s">
        <v>6</v>
      </c>
      <c r="E2" s="40" t="s">
        <v>7</v>
      </c>
      <c r="F2" s="40" t="s">
        <v>8</v>
      </c>
      <c r="G2" s="5" t="s">
        <v>9</v>
      </c>
      <c r="H2" s="5" t="s">
        <v>10</v>
      </c>
      <c r="I2" s="5" t="s">
        <v>11</v>
      </c>
      <c r="J2" s="37" t="s">
        <v>12</v>
      </c>
    </row>
    <row r="3" spans="1:12" ht="15" customHeight="1" x14ac:dyDescent="0.25">
      <c r="A3" s="104" t="s">
        <v>42</v>
      </c>
      <c r="B3" s="21" t="s">
        <v>13</v>
      </c>
      <c r="C3" s="22" t="s">
        <v>47</v>
      </c>
      <c r="D3" s="111" t="s">
        <v>48</v>
      </c>
      <c r="E3" s="14">
        <v>75</v>
      </c>
      <c r="F3" s="15">
        <v>35.5</v>
      </c>
      <c r="G3" s="33">
        <f>161*1.5</f>
        <v>241.5</v>
      </c>
      <c r="H3" s="102">
        <f>7.61*1.5</f>
        <v>11.415000000000001</v>
      </c>
      <c r="I3" s="102">
        <f>11.1*1.5</f>
        <v>16.649999999999999</v>
      </c>
      <c r="J3" s="103">
        <f>7.66*1.5</f>
        <v>11.49</v>
      </c>
    </row>
    <row r="4" spans="1:12" s="56" customFormat="1" ht="15" customHeight="1" x14ac:dyDescent="0.25">
      <c r="A4" s="105"/>
      <c r="B4" s="8" t="s">
        <v>17</v>
      </c>
      <c r="C4" s="6" t="s">
        <v>62</v>
      </c>
      <c r="D4" s="6" t="s">
        <v>63</v>
      </c>
      <c r="E4" s="17">
        <v>130</v>
      </c>
      <c r="F4" s="7">
        <v>9.1999999999999993</v>
      </c>
      <c r="G4" s="51">
        <f>751*0.13</f>
        <v>97.63000000000001</v>
      </c>
      <c r="H4" s="51">
        <f>20.65*0.13</f>
        <v>2.6844999999999999</v>
      </c>
      <c r="I4" s="51">
        <f>32.37*0.13</f>
        <v>4.2081</v>
      </c>
      <c r="J4" s="52">
        <f>94.27*0.13</f>
        <v>12.255100000000001</v>
      </c>
    </row>
    <row r="5" spans="1:12" s="54" customFormat="1" x14ac:dyDescent="0.25">
      <c r="A5" s="105"/>
      <c r="B5" s="8" t="s">
        <v>18</v>
      </c>
      <c r="C5" s="6" t="s">
        <v>19</v>
      </c>
      <c r="D5" s="6" t="s">
        <v>20</v>
      </c>
      <c r="E5" s="17" t="s">
        <v>33</v>
      </c>
      <c r="F5" s="7">
        <v>2.5</v>
      </c>
      <c r="G5" s="7">
        <v>60</v>
      </c>
      <c r="H5" s="7">
        <v>7.0000000000000007E-2</v>
      </c>
      <c r="I5" s="7">
        <v>0.02</v>
      </c>
      <c r="J5" s="9">
        <v>15</v>
      </c>
    </row>
    <row r="6" spans="1:12" s="46" customFormat="1" ht="15" customHeight="1" x14ac:dyDescent="0.25">
      <c r="A6" s="105"/>
      <c r="B6" s="8" t="s">
        <v>21</v>
      </c>
      <c r="C6" s="48" t="s">
        <v>43</v>
      </c>
      <c r="D6" s="110" t="s">
        <v>44</v>
      </c>
      <c r="E6" s="17">
        <v>50</v>
      </c>
      <c r="F6" s="7">
        <v>22.19</v>
      </c>
      <c r="G6" s="49">
        <f>192.8/90*50</f>
        <v>107.11111111111111</v>
      </c>
      <c r="H6" s="25">
        <f>2.9/9*5</f>
        <v>1.6111111111111109</v>
      </c>
      <c r="I6" s="25">
        <f>7.6/9*5</f>
        <v>4.2222222222222223</v>
      </c>
      <c r="J6" s="26">
        <f>28.3/9*5</f>
        <v>15.722222222222221</v>
      </c>
    </row>
    <row r="7" spans="1:12" s="42" customFormat="1" x14ac:dyDescent="0.25">
      <c r="A7" s="105"/>
      <c r="B7" s="8" t="s">
        <v>14</v>
      </c>
      <c r="C7" s="6" t="s">
        <v>31</v>
      </c>
      <c r="D7" s="6" t="s">
        <v>32</v>
      </c>
      <c r="E7" s="17">
        <v>49</v>
      </c>
      <c r="F7" s="7">
        <v>2.2000000000000002</v>
      </c>
      <c r="G7" s="7">
        <f>229.7*0.49</f>
        <v>112.553</v>
      </c>
      <c r="H7" s="66">
        <f>6.7*0.49</f>
        <v>3.2829999999999999</v>
      </c>
      <c r="I7" s="66">
        <f>1.1*0.49</f>
        <v>0.53900000000000003</v>
      </c>
      <c r="J7" s="67">
        <f>48.3*0.49</f>
        <v>23.666999999999998</v>
      </c>
    </row>
    <row r="8" spans="1:12" s="57" customFormat="1" ht="15.75" thickBot="1" x14ac:dyDescent="0.3">
      <c r="A8" s="106"/>
      <c r="B8" s="10" t="s">
        <v>40</v>
      </c>
      <c r="C8" s="11" t="s">
        <v>41</v>
      </c>
      <c r="D8" s="11" t="s">
        <v>53</v>
      </c>
      <c r="E8" s="18">
        <v>120</v>
      </c>
      <c r="F8" s="19">
        <v>25.56</v>
      </c>
      <c r="G8" s="53">
        <f>47*1.2</f>
        <v>56.4</v>
      </c>
      <c r="H8" s="53">
        <f>0.4*1.2</f>
        <v>0.48</v>
      </c>
      <c r="I8" s="53">
        <f>0.3*1.2</f>
        <v>0.36</v>
      </c>
      <c r="J8" s="65">
        <f>10.3*1.2</f>
        <v>12.360000000000001</v>
      </c>
      <c r="K8"/>
    </row>
    <row r="9" spans="1:12" ht="16.5" thickBot="1" x14ac:dyDescent="0.3">
      <c r="A9" s="84" t="s">
        <v>15</v>
      </c>
      <c r="B9" s="107"/>
      <c r="C9" s="107"/>
      <c r="D9" s="107"/>
      <c r="E9" s="108"/>
      <c r="F9" s="109">
        <f>SUM(F3:F8)</f>
        <v>97.15</v>
      </c>
      <c r="G9" s="109">
        <f t="shared" ref="G9:J9" si="0">SUM(G3:G8)</f>
        <v>675.19411111111106</v>
      </c>
      <c r="H9" s="109">
        <f t="shared" si="0"/>
        <v>19.543611111111112</v>
      </c>
      <c r="I9" s="109">
        <f t="shared" si="0"/>
        <v>25.999322222222222</v>
      </c>
      <c r="J9" s="109">
        <f t="shared" si="0"/>
        <v>90.494322222222223</v>
      </c>
    </row>
    <row r="10" spans="1:12" x14ac:dyDescent="0.25">
      <c r="A10" s="73" t="s">
        <v>27</v>
      </c>
      <c r="B10" s="21" t="s">
        <v>16</v>
      </c>
      <c r="C10" s="22" t="s">
        <v>64</v>
      </c>
      <c r="D10" s="22" t="s">
        <v>65</v>
      </c>
      <c r="E10" s="14" t="s">
        <v>59</v>
      </c>
      <c r="F10" s="15">
        <v>6.25</v>
      </c>
      <c r="G10" s="15">
        <v>117</v>
      </c>
      <c r="H10" s="15">
        <v>2.39</v>
      </c>
      <c r="I10" s="15">
        <v>5.08</v>
      </c>
      <c r="J10" s="16">
        <v>13</v>
      </c>
      <c r="K10"/>
    </row>
    <row r="11" spans="1:12" x14ac:dyDescent="0.25">
      <c r="A11" s="73"/>
      <c r="B11" s="58" t="s">
        <v>13</v>
      </c>
      <c r="C11" s="59" t="s">
        <v>54</v>
      </c>
      <c r="D11" s="59" t="s">
        <v>66</v>
      </c>
      <c r="E11" s="60" t="s">
        <v>67</v>
      </c>
      <c r="F11" s="61">
        <v>23.98</v>
      </c>
      <c r="G11" s="62">
        <f>221*0.3</f>
        <v>66.3</v>
      </c>
      <c r="H11" s="62">
        <f>14.55*0.3</f>
        <v>4.3650000000000002</v>
      </c>
      <c r="I11" s="62">
        <f>16.79*0.3</f>
        <v>5.0369999999999999</v>
      </c>
      <c r="J11" s="63">
        <f>2.89*0.3</f>
        <v>0.86699999999999999</v>
      </c>
      <c r="K11"/>
    </row>
    <row r="12" spans="1:12" s="31" customFormat="1" x14ac:dyDescent="0.25">
      <c r="A12" s="73"/>
      <c r="B12" s="8" t="s">
        <v>17</v>
      </c>
      <c r="C12" s="6" t="s">
        <v>60</v>
      </c>
      <c r="D12" s="6" t="s">
        <v>61</v>
      </c>
      <c r="E12" s="17">
        <v>90</v>
      </c>
      <c r="F12" s="7">
        <v>8.76</v>
      </c>
      <c r="G12" s="7">
        <f>1398*0.09</f>
        <v>125.82</v>
      </c>
      <c r="H12" s="7">
        <f>24.34*0.09</f>
        <v>2.1905999999999999</v>
      </c>
      <c r="I12" s="7">
        <f>35.83*0.09</f>
        <v>3.2246999999999999</v>
      </c>
      <c r="J12" s="9">
        <f>244.56*0.09</f>
        <v>22.010400000000001</v>
      </c>
      <c r="K12"/>
    </row>
    <row r="13" spans="1:12" s="31" customFormat="1" x14ac:dyDescent="0.25">
      <c r="A13" s="73"/>
      <c r="B13" s="8" t="s">
        <v>18</v>
      </c>
      <c r="C13" s="6" t="s">
        <v>19</v>
      </c>
      <c r="D13" s="6" t="s">
        <v>20</v>
      </c>
      <c r="E13" s="17" t="s">
        <v>33</v>
      </c>
      <c r="F13" s="7">
        <v>2.5</v>
      </c>
      <c r="G13" s="7">
        <v>60</v>
      </c>
      <c r="H13" s="7">
        <v>7.0000000000000007E-2</v>
      </c>
      <c r="I13" s="7">
        <v>0.02</v>
      </c>
      <c r="J13" s="9">
        <v>15</v>
      </c>
    </row>
    <row r="14" spans="1:12" ht="15.75" thickBot="1" x14ac:dyDescent="0.3">
      <c r="A14" s="73"/>
      <c r="B14" s="10" t="s">
        <v>14</v>
      </c>
      <c r="C14" s="11" t="s">
        <v>31</v>
      </c>
      <c r="D14" s="11" t="s">
        <v>32</v>
      </c>
      <c r="E14" s="18">
        <v>17.5</v>
      </c>
      <c r="F14" s="19">
        <v>0.8</v>
      </c>
      <c r="G14" s="19">
        <f>229.7*0.175</f>
        <v>40.197499999999998</v>
      </c>
      <c r="H14" s="12">
        <f>6.7*0.175</f>
        <v>1.1724999999999999</v>
      </c>
      <c r="I14" s="12">
        <f>1.1*0.175</f>
        <v>0.1925</v>
      </c>
      <c r="J14" s="13">
        <f>48.3*0.175</f>
        <v>8.4524999999999988</v>
      </c>
    </row>
    <row r="15" spans="1:12" ht="16.5" thickBot="1" x14ac:dyDescent="0.3">
      <c r="A15" s="90" t="s">
        <v>15</v>
      </c>
      <c r="B15" s="85"/>
      <c r="C15" s="85"/>
      <c r="D15" s="85"/>
      <c r="E15" s="86"/>
      <c r="F15" s="30">
        <f>SUM(F10:F14)</f>
        <v>42.29</v>
      </c>
      <c r="G15" s="30">
        <f t="shared" ref="G15:J15" si="1">SUM(G10:G14)</f>
        <v>409.3175</v>
      </c>
      <c r="H15" s="30">
        <f t="shared" si="1"/>
        <v>10.1881</v>
      </c>
      <c r="I15" s="30">
        <f t="shared" si="1"/>
        <v>13.554200000000002</v>
      </c>
      <c r="J15" s="30">
        <f t="shared" si="1"/>
        <v>59.329900000000002</v>
      </c>
    </row>
    <row r="16" spans="1:12" s="41" customFormat="1" ht="15.75" x14ac:dyDescent="0.25">
      <c r="A16" s="87" t="s">
        <v>28</v>
      </c>
      <c r="B16" s="64" t="s">
        <v>30</v>
      </c>
      <c r="C16" s="50" t="s">
        <v>39</v>
      </c>
      <c r="D16" s="50" t="s">
        <v>68</v>
      </c>
      <c r="E16" s="14">
        <v>25</v>
      </c>
      <c r="F16" s="15">
        <v>1.77</v>
      </c>
      <c r="G16" s="15">
        <f>11*0.5</f>
        <v>5.5</v>
      </c>
      <c r="H16" s="15">
        <f>0.55*0.5</f>
        <v>0.27500000000000002</v>
      </c>
      <c r="I16" s="15">
        <f>0.1*0.5</f>
        <v>0.05</v>
      </c>
      <c r="J16" s="16">
        <f>1.9*0.5</f>
        <v>0.95</v>
      </c>
    </row>
    <row r="17" spans="1:11" s="55" customFormat="1" x14ac:dyDescent="0.25">
      <c r="A17" s="88"/>
      <c r="B17" s="8" t="s">
        <v>16</v>
      </c>
      <c r="C17" s="6" t="s">
        <v>64</v>
      </c>
      <c r="D17" s="6" t="s">
        <v>65</v>
      </c>
      <c r="E17" s="17" t="s">
        <v>59</v>
      </c>
      <c r="F17" s="7">
        <v>6.25</v>
      </c>
      <c r="G17" s="7">
        <v>117</v>
      </c>
      <c r="H17" s="7">
        <v>2.39</v>
      </c>
      <c r="I17" s="7">
        <v>5.08</v>
      </c>
      <c r="J17" s="9">
        <v>13</v>
      </c>
    </row>
    <row r="18" spans="1:11" s="28" customFormat="1" x14ac:dyDescent="0.25">
      <c r="A18" s="88"/>
      <c r="B18" s="8" t="s">
        <v>13</v>
      </c>
      <c r="C18" s="6" t="s">
        <v>54</v>
      </c>
      <c r="D18" s="6" t="s">
        <v>66</v>
      </c>
      <c r="E18" s="17" t="s">
        <v>69</v>
      </c>
      <c r="F18" s="7">
        <v>60.74</v>
      </c>
      <c r="G18" s="25">
        <f>221*0.76</f>
        <v>167.96</v>
      </c>
      <c r="H18" s="25">
        <f>14.55*0.76</f>
        <v>11.058</v>
      </c>
      <c r="I18" s="25">
        <f>16.79*0.76</f>
        <v>12.760399999999999</v>
      </c>
      <c r="J18" s="26">
        <f>2.89*0.76</f>
        <v>2.1964000000000001</v>
      </c>
      <c r="K18"/>
    </row>
    <row r="19" spans="1:11" s="39" customFormat="1" x14ac:dyDescent="0.25">
      <c r="A19" s="88"/>
      <c r="B19" s="8" t="s">
        <v>17</v>
      </c>
      <c r="C19" s="6" t="s">
        <v>60</v>
      </c>
      <c r="D19" s="6" t="s">
        <v>61</v>
      </c>
      <c r="E19" s="17">
        <v>110</v>
      </c>
      <c r="F19" s="7">
        <v>10.71</v>
      </c>
      <c r="G19" s="7">
        <f>1398*0.11</f>
        <v>153.78</v>
      </c>
      <c r="H19" s="7">
        <f>24.34*0.11</f>
        <v>2.6774</v>
      </c>
      <c r="I19" s="7">
        <f>35.83*0.11</f>
        <v>3.9413</v>
      </c>
      <c r="J19" s="9">
        <f>244.56*0.11</f>
        <v>26.901600000000002</v>
      </c>
      <c r="K19"/>
    </row>
    <row r="20" spans="1:11" s="38" customFormat="1" x14ac:dyDescent="0.25">
      <c r="A20" s="88"/>
      <c r="B20" s="8" t="s">
        <v>49</v>
      </c>
      <c r="C20" s="6" t="s">
        <v>50</v>
      </c>
      <c r="D20" s="6" t="s">
        <v>51</v>
      </c>
      <c r="E20" s="17">
        <v>200</v>
      </c>
      <c r="F20" s="7">
        <v>12.22</v>
      </c>
      <c r="G20" s="7">
        <f>573*0.2</f>
        <v>114.60000000000001</v>
      </c>
      <c r="H20" s="7">
        <f>0.8*0.2</f>
        <v>0.16000000000000003</v>
      </c>
      <c r="I20" s="7">
        <f>0.6*0.2</f>
        <v>0.12</v>
      </c>
      <c r="J20" s="9">
        <f>140.4*0.2</f>
        <v>28.080000000000002</v>
      </c>
    </row>
    <row r="21" spans="1:11" s="57" customFormat="1" x14ac:dyDescent="0.25">
      <c r="A21" s="88"/>
      <c r="B21" s="8" t="s">
        <v>21</v>
      </c>
      <c r="C21" s="6" t="s">
        <v>70</v>
      </c>
      <c r="D21" s="6" t="s">
        <v>71</v>
      </c>
      <c r="E21" s="17">
        <v>50</v>
      </c>
      <c r="F21" s="7">
        <v>3.98</v>
      </c>
      <c r="G21" s="7">
        <v>160.5</v>
      </c>
      <c r="H21" s="7">
        <v>3.39</v>
      </c>
      <c r="I21" s="7">
        <v>6.98</v>
      </c>
      <c r="J21" s="9">
        <v>21.07</v>
      </c>
    </row>
    <row r="22" spans="1:11" s="38" customFormat="1" ht="15.75" thickBot="1" x14ac:dyDescent="0.3">
      <c r="A22" s="88"/>
      <c r="B22" s="10" t="s">
        <v>14</v>
      </c>
      <c r="C22" s="11" t="s">
        <v>31</v>
      </c>
      <c r="D22" s="11" t="s">
        <v>32</v>
      </c>
      <c r="E22" s="18">
        <v>29</v>
      </c>
      <c r="F22" s="19">
        <v>1.48</v>
      </c>
      <c r="G22" s="19">
        <f>229.7*0.29</f>
        <v>66.612999999999985</v>
      </c>
      <c r="H22" s="12">
        <f>6.7*0.29</f>
        <v>1.9429999999999998</v>
      </c>
      <c r="I22" s="12">
        <f>1.1*0.29</f>
        <v>0.31900000000000001</v>
      </c>
      <c r="J22" s="13">
        <f>48.3*0.29</f>
        <v>14.006999999999998</v>
      </c>
    </row>
    <row r="23" spans="1:11" s="32" customFormat="1" ht="16.5" thickBot="1" x14ac:dyDescent="0.3">
      <c r="A23" s="84" t="s">
        <v>15</v>
      </c>
      <c r="B23" s="70"/>
      <c r="C23" s="70"/>
      <c r="D23" s="70"/>
      <c r="E23" s="89"/>
      <c r="F23" s="20">
        <f>SUM(F16:F22)</f>
        <v>97.15</v>
      </c>
      <c r="G23" s="20">
        <f>SUM(G16:G22)</f>
        <v>785.95299999999997</v>
      </c>
      <c r="H23" s="20">
        <f>SUM(H16:H22)</f>
        <v>21.8934</v>
      </c>
      <c r="I23" s="20">
        <f>SUM(I16:I22)</f>
        <v>29.250699999999998</v>
      </c>
      <c r="J23" s="20">
        <f>SUM(J16:J22)</f>
        <v>106.20500000000001</v>
      </c>
      <c r="K23"/>
    </row>
    <row r="24" spans="1:11" s="38" customFormat="1" x14ac:dyDescent="0.25">
      <c r="A24" s="73" t="s">
        <v>29</v>
      </c>
      <c r="B24" s="21" t="s">
        <v>55</v>
      </c>
      <c r="C24" s="22" t="s">
        <v>52</v>
      </c>
      <c r="D24" s="22" t="s">
        <v>56</v>
      </c>
      <c r="E24" s="14">
        <v>150</v>
      </c>
      <c r="F24" s="15">
        <v>30.8</v>
      </c>
      <c r="G24" s="15">
        <f>144</f>
        <v>144</v>
      </c>
      <c r="H24" s="15">
        <v>4.5</v>
      </c>
      <c r="I24" s="15">
        <v>3.75</v>
      </c>
      <c r="J24" s="16">
        <v>22.95</v>
      </c>
      <c r="K24"/>
    </row>
    <row r="25" spans="1:11" s="47" customFormat="1" ht="30.75" thickBot="1" x14ac:dyDescent="0.3">
      <c r="A25" s="73"/>
      <c r="B25" s="10" t="s">
        <v>21</v>
      </c>
      <c r="C25" s="11" t="s">
        <v>46</v>
      </c>
      <c r="D25" s="11" t="s">
        <v>72</v>
      </c>
      <c r="E25" s="18">
        <v>55</v>
      </c>
      <c r="F25" s="19">
        <v>11.49</v>
      </c>
      <c r="G25" s="19">
        <f>202/75*55</f>
        <v>148.13333333333333</v>
      </c>
      <c r="H25" s="19">
        <f>9.22/75*55</f>
        <v>6.7613333333333339</v>
      </c>
      <c r="I25" s="19">
        <f>5.48/75*55</f>
        <v>4.0186666666666664</v>
      </c>
      <c r="J25" s="34">
        <f>29.18/75*55</f>
        <v>21.398666666666667</v>
      </c>
      <c r="K25"/>
    </row>
    <row r="26" spans="1:11" ht="16.5" thickBot="1" x14ac:dyDescent="0.3">
      <c r="A26" s="69" t="s">
        <v>15</v>
      </c>
      <c r="B26" s="74"/>
      <c r="C26" s="74"/>
      <c r="D26" s="74"/>
      <c r="E26" s="75"/>
      <c r="F26" s="3">
        <f>SUM(F24:F25)</f>
        <v>42.29</v>
      </c>
      <c r="G26" s="3">
        <f>SUM(G24:G25)</f>
        <v>292.13333333333333</v>
      </c>
      <c r="H26" s="3">
        <f>SUM(H24:H25)</f>
        <v>11.261333333333333</v>
      </c>
      <c r="I26" s="3">
        <f>SUM(I24:I25)</f>
        <v>7.7686666666666664</v>
      </c>
      <c r="J26" s="3">
        <f>SUM(J24:J25)</f>
        <v>44.348666666666666</v>
      </c>
      <c r="K26"/>
    </row>
    <row r="28" spans="1:11" ht="15.75" thickBot="1" x14ac:dyDescent="0.3">
      <c r="A28" s="76" t="s">
        <v>25</v>
      </c>
      <c r="B28" s="76"/>
      <c r="C28" s="76"/>
      <c r="D28" s="76"/>
      <c r="E28" s="76"/>
      <c r="F28" s="76"/>
      <c r="G28" s="76"/>
      <c r="H28" s="76"/>
      <c r="I28" s="76"/>
      <c r="J28" s="76"/>
    </row>
    <row r="29" spans="1:11" ht="15.75" x14ac:dyDescent="0.25">
      <c r="A29" s="24"/>
      <c r="B29" s="24"/>
      <c r="C29" s="77" t="s">
        <v>23</v>
      </c>
      <c r="D29" s="77"/>
      <c r="G29" s="78"/>
      <c r="H29" s="78"/>
      <c r="I29" s="78"/>
      <c r="J29" s="78"/>
    </row>
    <row r="30" spans="1:11" x14ac:dyDescent="0.25">
      <c r="A30" s="1"/>
      <c r="B30" s="1"/>
      <c r="C30" s="1"/>
      <c r="D30" s="1"/>
    </row>
    <row r="31" spans="1:11" x14ac:dyDescent="0.25">
      <c r="A31" s="68" t="s">
        <v>24</v>
      </c>
      <c r="B31" s="68"/>
    </row>
    <row r="32" spans="1:11" x14ac:dyDescent="0.25">
      <c r="A32" s="68" t="s">
        <v>26</v>
      </c>
      <c r="B32" s="68"/>
    </row>
    <row r="33" spans="1:1" x14ac:dyDescent="0.25">
      <c r="A33" s="4"/>
    </row>
  </sheetData>
  <mergeCells count="15">
    <mergeCell ref="A31:B31"/>
    <mergeCell ref="A32:B32"/>
    <mergeCell ref="A24:A25"/>
    <mergeCell ref="A26:E26"/>
    <mergeCell ref="A16:A22"/>
    <mergeCell ref="A3:A8"/>
    <mergeCell ref="B1:C1"/>
    <mergeCell ref="G1:J1"/>
    <mergeCell ref="C29:D29"/>
    <mergeCell ref="A28:J28"/>
    <mergeCell ref="G29:J29"/>
    <mergeCell ref="A9:E9"/>
    <mergeCell ref="A10:A14"/>
    <mergeCell ref="A15:E15"/>
    <mergeCell ref="A23:E2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J29" sqref="J29"/>
    </sheetView>
  </sheetViews>
  <sheetFormatPr defaultRowHeight="15" x14ac:dyDescent="0.25"/>
  <cols>
    <col min="1" max="1" width="27.85546875" style="2" customWidth="1"/>
    <col min="2" max="2" width="24.7109375" style="2" customWidth="1"/>
    <col min="3" max="3" width="12.28515625" style="2" customWidth="1"/>
    <col min="4" max="4" width="47.8554687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92" t="s">
        <v>22</v>
      </c>
      <c r="C1" s="93"/>
      <c r="D1" s="1" t="s">
        <v>1</v>
      </c>
      <c r="E1" s="27"/>
      <c r="F1" s="1" t="s">
        <v>2</v>
      </c>
      <c r="G1" s="81">
        <v>44819</v>
      </c>
      <c r="H1" s="82"/>
      <c r="I1" s="82"/>
      <c r="J1" s="83"/>
      <c r="K1" s="1"/>
      <c r="L1" s="1"/>
    </row>
    <row r="2" spans="1:12" ht="15.75" thickBot="1" x14ac:dyDescent="0.3">
      <c r="A2" s="35" t="s">
        <v>3</v>
      </c>
      <c r="B2" s="43" t="s">
        <v>4</v>
      </c>
      <c r="C2" s="44" t="s">
        <v>5</v>
      </c>
      <c r="D2" s="44" t="s">
        <v>6</v>
      </c>
      <c r="E2" s="44" t="s">
        <v>7</v>
      </c>
      <c r="F2" s="44" t="s">
        <v>8</v>
      </c>
      <c r="G2" s="44" t="s">
        <v>9</v>
      </c>
      <c r="H2" s="44" t="s">
        <v>10</v>
      </c>
      <c r="I2" s="44" t="s">
        <v>11</v>
      </c>
      <c r="J2" s="45" t="s">
        <v>12</v>
      </c>
    </row>
    <row r="3" spans="1:12" ht="15.75" customHeight="1" x14ac:dyDescent="0.25">
      <c r="A3" s="112" t="s">
        <v>74</v>
      </c>
      <c r="B3" s="21" t="s">
        <v>13</v>
      </c>
      <c r="C3" s="22" t="s">
        <v>47</v>
      </c>
      <c r="D3" s="111" t="s">
        <v>48</v>
      </c>
      <c r="E3" s="14">
        <v>75</v>
      </c>
      <c r="F3" s="15">
        <v>35.5</v>
      </c>
      <c r="G3" s="33">
        <f>161*1.5</f>
        <v>241.5</v>
      </c>
      <c r="H3" s="102">
        <f>7.61*1.5</f>
        <v>11.415000000000001</v>
      </c>
      <c r="I3" s="102">
        <f>11.1*1.5</f>
        <v>16.649999999999999</v>
      </c>
      <c r="J3" s="103">
        <f>7.66*1.5</f>
        <v>11.49</v>
      </c>
    </row>
    <row r="4" spans="1:12" s="55" customFormat="1" x14ac:dyDescent="0.25">
      <c r="A4" s="113"/>
      <c r="B4" s="8" t="s">
        <v>17</v>
      </c>
      <c r="C4" s="6" t="s">
        <v>62</v>
      </c>
      <c r="D4" s="6" t="s">
        <v>63</v>
      </c>
      <c r="E4" s="17">
        <v>130</v>
      </c>
      <c r="F4" s="7">
        <v>9.1999999999999993</v>
      </c>
      <c r="G4" s="51">
        <f>751*0.13</f>
        <v>97.63000000000001</v>
      </c>
      <c r="H4" s="51">
        <f>20.65*0.13</f>
        <v>2.6844999999999999</v>
      </c>
      <c r="I4" s="51">
        <f>32.37*0.13</f>
        <v>4.2081</v>
      </c>
      <c r="J4" s="52">
        <f>94.27*0.13</f>
        <v>12.255100000000001</v>
      </c>
    </row>
    <row r="5" spans="1:12" s="42" customFormat="1" x14ac:dyDescent="0.25">
      <c r="A5" s="113"/>
      <c r="B5" s="8" t="s">
        <v>18</v>
      </c>
      <c r="C5" s="6" t="s">
        <v>19</v>
      </c>
      <c r="D5" s="6" t="s">
        <v>20</v>
      </c>
      <c r="E5" s="17" t="s">
        <v>33</v>
      </c>
      <c r="F5" s="7">
        <v>2.5</v>
      </c>
      <c r="G5" s="7">
        <v>60</v>
      </c>
      <c r="H5" s="7">
        <v>7.0000000000000007E-2</v>
      </c>
      <c r="I5" s="7">
        <v>0.02</v>
      </c>
      <c r="J5" s="9">
        <v>15</v>
      </c>
    </row>
    <row r="6" spans="1:12" x14ac:dyDescent="0.25">
      <c r="A6" s="113"/>
      <c r="B6" s="8" t="s">
        <v>21</v>
      </c>
      <c r="C6" s="6" t="s">
        <v>57</v>
      </c>
      <c r="D6" s="6" t="s">
        <v>58</v>
      </c>
      <c r="E6" s="17">
        <v>50</v>
      </c>
      <c r="F6" s="7">
        <v>7.43</v>
      </c>
      <c r="G6" s="7">
        <f>397.2*0.5</f>
        <v>198.6</v>
      </c>
      <c r="H6" s="66">
        <f>8.2*0.5</f>
        <v>4.0999999999999996</v>
      </c>
      <c r="I6" s="66">
        <f>15.4*0.5</f>
        <v>7.7</v>
      </c>
      <c r="J6" s="67">
        <f>56.4*0.5</f>
        <v>28.2</v>
      </c>
    </row>
    <row r="7" spans="1:12" s="57" customFormat="1" ht="15.75" thickBot="1" x14ac:dyDescent="0.3">
      <c r="A7" s="114"/>
      <c r="B7" s="10" t="s">
        <v>40</v>
      </c>
      <c r="C7" s="11" t="s">
        <v>41</v>
      </c>
      <c r="D7" s="11" t="s">
        <v>73</v>
      </c>
      <c r="E7" s="18">
        <v>140</v>
      </c>
      <c r="F7" s="19">
        <v>22.37</v>
      </c>
      <c r="G7" s="53">
        <f>43*1.35</f>
        <v>58.050000000000004</v>
      </c>
      <c r="H7" s="53">
        <f>0.9*1.35</f>
        <v>1.2150000000000001</v>
      </c>
      <c r="I7" s="53">
        <f>0.2*1.35</f>
        <v>0.27</v>
      </c>
      <c r="J7" s="65">
        <f>8.1*1.35</f>
        <v>10.935</v>
      </c>
    </row>
    <row r="8" spans="1:12" ht="16.5" thickBot="1" x14ac:dyDescent="0.3">
      <c r="A8" s="94" t="s">
        <v>15</v>
      </c>
      <c r="B8" s="70"/>
      <c r="C8" s="70"/>
      <c r="D8" s="70"/>
      <c r="E8" s="71"/>
      <c r="F8" s="20">
        <f>SUM(F3:F7)</f>
        <v>77</v>
      </c>
      <c r="G8" s="20">
        <f t="shared" ref="G8:J8" si="0">SUM(G3:G7)</f>
        <v>655.78</v>
      </c>
      <c r="H8" s="20">
        <f t="shared" si="0"/>
        <v>19.484500000000001</v>
      </c>
      <c r="I8" s="20">
        <f t="shared" si="0"/>
        <v>28.848099999999999</v>
      </c>
      <c r="J8" s="20">
        <f t="shared" si="0"/>
        <v>77.880099999999999</v>
      </c>
    </row>
    <row r="9" spans="1:12" s="29" customFormat="1" ht="15.75" x14ac:dyDescent="0.25">
      <c r="A9" s="95" t="s">
        <v>34</v>
      </c>
      <c r="B9" s="21" t="s">
        <v>13</v>
      </c>
      <c r="C9" s="22" t="s">
        <v>47</v>
      </c>
      <c r="D9" s="111" t="s">
        <v>48</v>
      </c>
      <c r="E9" s="14">
        <v>30</v>
      </c>
      <c r="F9" s="15">
        <v>14.2</v>
      </c>
      <c r="G9" s="33">
        <f>161*0.6</f>
        <v>96.6</v>
      </c>
      <c r="H9" s="102">
        <f>7.61*0.6</f>
        <v>4.5659999999999998</v>
      </c>
      <c r="I9" s="102">
        <f>11.1*0.6</f>
        <v>6.6599999999999993</v>
      </c>
      <c r="J9" s="103">
        <f>7.66*0.6</f>
        <v>4.5960000000000001</v>
      </c>
      <c r="K9"/>
    </row>
    <row r="10" spans="1:12" s="57" customFormat="1" x14ac:dyDescent="0.25">
      <c r="A10" s="96"/>
      <c r="B10" s="8" t="s">
        <v>17</v>
      </c>
      <c r="C10" s="6" t="s">
        <v>62</v>
      </c>
      <c r="D10" s="6" t="s">
        <v>63</v>
      </c>
      <c r="E10" s="17">
        <v>130</v>
      </c>
      <c r="F10" s="7">
        <v>9.1999999999999993</v>
      </c>
      <c r="G10" s="51">
        <f>751*0.13</f>
        <v>97.63000000000001</v>
      </c>
      <c r="H10" s="51">
        <f>20.65*0.13</f>
        <v>2.6844999999999999</v>
      </c>
      <c r="I10" s="51">
        <f>32.37*0.13</f>
        <v>4.2081</v>
      </c>
      <c r="J10" s="52">
        <f>94.27*0.13</f>
        <v>12.255100000000001</v>
      </c>
      <c r="K10"/>
    </row>
    <row r="11" spans="1:12" s="29" customFormat="1" x14ac:dyDescent="0.25">
      <c r="A11" s="96"/>
      <c r="B11" s="8" t="s">
        <v>18</v>
      </c>
      <c r="C11" s="6" t="s">
        <v>19</v>
      </c>
      <c r="D11" s="6" t="s">
        <v>20</v>
      </c>
      <c r="E11" s="17" t="s">
        <v>33</v>
      </c>
      <c r="F11" s="7">
        <v>2.5</v>
      </c>
      <c r="G11" s="7">
        <v>60</v>
      </c>
      <c r="H11" s="7">
        <v>7.0000000000000007E-2</v>
      </c>
      <c r="I11" s="7">
        <v>0.02</v>
      </c>
      <c r="J11" s="9">
        <v>15</v>
      </c>
    </row>
    <row r="12" spans="1:12" s="32" customFormat="1" ht="15.75" thickBot="1" x14ac:dyDescent="0.3">
      <c r="A12" s="97"/>
      <c r="B12" s="10" t="s">
        <v>14</v>
      </c>
      <c r="C12" s="11" t="s">
        <v>31</v>
      </c>
      <c r="D12" s="11" t="s">
        <v>32</v>
      </c>
      <c r="E12" s="18">
        <v>24.5</v>
      </c>
      <c r="F12" s="19">
        <v>1.1000000000000001</v>
      </c>
      <c r="G12" s="19">
        <f>229.7*0.245</f>
        <v>56.276499999999999</v>
      </c>
      <c r="H12" s="12">
        <f>6.7*0.245</f>
        <v>1.6415</v>
      </c>
      <c r="I12" s="12">
        <f>1.1*0.245</f>
        <v>0.26950000000000002</v>
      </c>
      <c r="J12" s="13">
        <f>48.3*0.245</f>
        <v>11.833499999999999</v>
      </c>
    </row>
    <row r="13" spans="1:12" ht="16.5" thickBot="1" x14ac:dyDescent="0.3">
      <c r="A13" s="98" t="s">
        <v>15</v>
      </c>
      <c r="B13" s="70"/>
      <c r="C13" s="70"/>
      <c r="D13" s="70"/>
      <c r="E13" s="71"/>
      <c r="F13" s="20">
        <f>SUM(F9:F12)</f>
        <v>27</v>
      </c>
      <c r="G13" s="20">
        <f>SUM(G9:G12)</f>
        <v>310.50650000000002</v>
      </c>
      <c r="H13" s="20">
        <f>SUM(H9:H12)</f>
        <v>8.9619999999999997</v>
      </c>
      <c r="I13" s="20">
        <f>SUM(I9:I12)</f>
        <v>11.157599999999999</v>
      </c>
      <c r="J13" s="20">
        <f>SUM(J9:J12)</f>
        <v>43.684600000000003</v>
      </c>
    </row>
    <row r="14" spans="1:12" s="31" customFormat="1" ht="30" customHeight="1" x14ac:dyDescent="0.25">
      <c r="A14" s="95" t="s">
        <v>35</v>
      </c>
      <c r="B14" s="21" t="s">
        <v>30</v>
      </c>
      <c r="C14" s="22" t="s">
        <v>37</v>
      </c>
      <c r="D14" s="22" t="s">
        <v>38</v>
      </c>
      <c r="E14" s="14" t="s">
        <v>45</v>
      </c>
      <c r="F14" s="15">
        <v>4.5</v>
      </c>
      <c r="G14" s="15">
        <f>250*0.2+229.7*0.36</f>
        <v>132.69200000000001</v>
      </c>
      <c r="H14" s="15">
        <f>0.4*0.2+6.7*0.36</f>
        <v>2.492</v>
      </c>
      <c r="I14" s="15">
        <f>0+1.1*0.36</f>
        <v>0.39600000000000002</v>
      </c>
      <c r="J14" s="16">
        <f>65*0.2+48.3*0.36</f>
        <v>30.387999999999998</v>
      </c>
    </row>
    <row r="15" spans="1:12" s="31" customFormat="1" ht="15.75" thickBot="1" x14ac:dyDescent="0.3">
      <c r="A15" s="97"/>
      <c r="B15" s="10" t="s">
        <v>18</v>
      </c>
      <c r="C15" s="11" t="s">
        <v>19</v>
      </c>
      <c r="D15" s="11" t="s">
        <v>20</v>
      </c>
      <c r="E15" s="18" t="s">
        <v>33</v>
      </c>
      <c r="F15" s="19">
        <v>2.5</v>
      </c>
      <c r="G15" s="19">
        <v>60</v>
      </c>
      <c r="H15" s="19">
        <v>7.0000000000000007E-2</v>
      </c>
      <c r="I15" s="19">
        <v>0.02</v>
      </c>
      <c r="J15" s="34">
        <v>15</v>
      </c>
    </row>
    <row r="16" spans="1:12" ht="16.5" thickBot="1" x14ac:dyDescent="0.3">
      <c r="A16" s="99" t="s">
        <v>15</v>
      </c>
      <c r="B16" s="70"/>
      <c r="C16" s="70"/>
      <c r="D16" s="70"/>
      <c r="E16" s="71"/>
      <c r="F16" s="20">
        <f>SUM(F14:F15)</f>
        <v>7</v>
      </c>
      <c r="G16" s="20">
        <f>SUM(G14:G15)</f>
        <v>192.69200000000001</v>
      </c>
      <c r="H16" s="20">
        <f t="shared" ref="H16:J16" si="1">SUM(H14:H15)</f>
        <v>2.5619999999999998</v>
      </c>
      <c r="I16" s="20">
        <f t="shared" si="1"/>
        <v>0.41600000000000004</v>
      </c>
      <c r="J16" s="20">
        <f t="shared" si="1"/>
        <v>45.387999999999998</v>
      </c>
    </row>
    <row r="17" spans="1:10" x14ac:dyDescent="0.25">
      <c r="A17" s="72" t="s">
        <v>36</v>
      </c>
      <c r="B17" s="21" t="s">
        <v>16</v>
      </c>
      <c r="C17" s="22" t="s">
        <v>64</v>
      </c>
      <c r="D17" s="22" t="s">
        <v>65</v>
      </c>
      <c r="E17" s="14" t="s">
        <v>59</v>
      </c>
      <c r="F17" s="15">
        <v>6.25</v>
      </c>
      <c r="G17" s="15">
        <v>117</v>
      </c>
      <c r="H17" s="15">
        <v>2.39</v>
      </c>
      <c r="I17" s="15">
        <v>5.08</v>
      </c>
      <c r="J17" s="16">
        <v>13</v>
      </c>
    </row>
    <row r="18" spans="1:10" x14ac:dyDescent="0.25">
      <c r="A18" s="73"/>
      <c r="B18" s="58" t="s">
        <v>13</v>
      </c>
      <c r="C18" s="59" t="s">
        <v>54</v>
      </c>
      <c r="D18" s="59" t="s">
        <v>66</v>
      </c>
      <c r="E18" s="60" t="s">
        <v>67</v>
      </c>
      <c r="F18" s="61">
        <v>23.98</v>
      </c>
      <c r="G18" s="62">
        <f>221*0.3</f>
        <v>66.3</v>
      </c>
      <c r="H18" s="62">
        <f>14.55*0.3</f>
        <v>4.3650000000000002</v>
      </c>
      <c r="I18" s="62">
        <f>16.79*0.3</f>
        <v>5.0369999999999999</v>
      </c>
      <c r="J18" s="63">
        <f>2.89*0.3</f>
        <v>0.86699999999999999</v>
      </c>
    </row>
    <row r="19" spans="1:10" s="31" customFormat="1" x14ac:dyDescent="0.25">
      <c r="A19" s="73"/>
      <c r="B19" s="8" t="s">
        <v>17</v>
      </c>
      <c r="C19" s="6" t="s">
        <v>60</v>
      </c>
      <c r="D19" s="6" t="s">
        <v>61</v>
      </c>
      <c r="E19" s="17">
        <v>110</v>
      </c>
      <c r="F19" s="7">
        <v>10.71</v>
      </c>
      <c r="G19" s="7">
        <f>1398*0.11</f>
        <v>153.78</v>
      </c>
      <c r="H19" s="7">
        <f>24.34*0.11</f>
        <v>2.6774</v>
      </c>
      <c r="I19" s="7">
        <f>35.83*0.11</f>
        <v>3.9413</v>
      </c>
      <c r="J19" s="9">
        <f>244.56*0.11</f>
        <v>26.901600000000002</v>
      </c>
    </row>
    <row r="20" spans="1:10" x14ac:dyDescent="0.25">
      <c r="A20" s="73"/>
      <c r="B20" s="8" t="s">
        <v>18</v>
      </c>
      <c r="C20" s="6" t="s">
        <v>19</v>
      </c>
      <c r="D20" s="6" t="s">
        <v>20</v>
      </c>
      <c r="E20" s="17" t="s">
        <v>33</v>
      </c>
      <c r="F20" s="7">
        <v>2.5</v>
      </c>
      <c r="G20" s="7">
        <v>60</v>
      </c>
      <c r="H20" s="7">
        <v>7.0000000000000007E-2</v>
      </c>
      <c r="I20" s="7">
        <v>0.02</v>
      </c>
      <c r="J20" s="9">
        <v>15</v>
      </c>
    </row>
    <row r="21" spans="1:10" ht="15.75" thickBot="1" x14ac:dyDescent="0.3">
      <c r="A21" s="73"/>
      <c r="B21" s="10" t="s">
        <v>14</v>
      </c>
      <c r="C21" s="11" t="s">
        <v>31</v>
      </c>
      <c r="D21" s="11" t="s">
        <v>32</v>
      </c>
      <c r="E21" s="18">
        <v>35</v>
      </c>
      <c r="F21" s="19">
        <v>1.56</v>
      </c>
      <c r="G21" s="19">
        <f>229.7*0.35</f>
        <v>80.394999999999996</v>
      </c>
      <c r="H21" s="12">
        <f>6.7*0.35</f>
        <v>2.3449999999999998</v>
      </c>
      <c r="I21" s="12">
        <f>1.1*0.35</f>
        <v>0.38500000000000001</v>
      </c>
      <c r="J21" s="13">
        <f>48.3*0.35</f>
        <v>16.904999999999998</v>
      </c>
    </row>
    <row r="22" spans="1:10" ht="16.5" thickBot="1" x14ac:dyDescent="0.3">
      <c r="A22" s="84" t="s">
        <v>15</v>
      </c>
      <c r="B22" s="91"/>
      <c r="C22" s="91"/>
      <c r="D22" s="91"/>
      <c r="E22" s="101"/>
      <c r="F22" s="23">
        <f>SUM(F17:F21)</f>
        <v>45</v>
      </c>
      <c r="G22" s="23">
        <f>SUM(G17:G21)</f>
        <v>477.47500000000002</v>
      </c>
      <c r="H22" s="23">
        <f>SUM(H17:H21)</f>
        <v>11.8474</v>
      </c>
      <c r="I22" s="23">
        <f>SUM(I17:I21)</f>
        <v>14.4633</v>
      </c>
      <c r="J22" s="23">
        <f>SUM(J17:J21)</f>
        <v>72.673600000000008</v>
      </c>
    </row>
    <row r="23" spans="1:10" s="39" customFormat="1" x14ac:dyDescent="0.25">
      <c r="A23" s="100" t="s">
        <v>75</v>
      </c>
      <c r="B23" s="8" t="s">
        <v>16</v>
      </c>
      <c r="C23" s="6" t="s">
        <v>64</v>
      </c>
      <c r="D23" s="6" t="s">
        <v>65</v>
      </c>
      <c r="E23" s="17" t="s">
        <v>59</v>
      </c>
      <c r="F23" s="7">
        <v>6.25</v>
      </c>
      <c r="G23" s="7">
        <v>117</v>
      </c>
      <c r="H23" s="7">
        <v>2.39</v>
      </c>
      <c r="I23" s="7">
        <v>5.08</v>
      </c>
      <c r="J23" s="9">
        <v>13</v>
      </c>
    </row>
    <row r="24" spans="1:10" x14ac:dyDescent="0.25">
      <c r="A24" s="100"/>
      <c r="B24" s="8" t="s">
        <v>13</v>
      </c>
      <c r="C24" s="6" t="s">
        <v>54</v>
      </c>
      <c r="D24" s="6" t="s">
        <v>66</v>
      </c>
      <c r="E24" s="17" t="s">
        <v>76</v>
      </c>
      <c r="F24" s="7">
        <v>52.75</v>
      </c>
      <c r="G24" s="25">
        <f>221*0.66</f>
        <v>145.86000000000001</v>
      </c>
      <c r="H24" s="25">
        <f>14.55*0.66</f>
        <v>9.6030000000000015</v>
      </c>
      <c r="I24" s="25">
        <f>16.79*0.66</f>
        <v>11.0814</v>
      </c>
      <c r="J24" s="26">
        <f>2.89*0.66</f>
        <v>1.9074000000000002</v>
      </c>
    </row>
    <row r="25" spans="1:10" x14ac:dyDescent="0.25">
      <c r="A25" s="100"/>
      <c r="B25" s="8" t="s">
        <v>17</v>
      </c>
      <c r="C25" s="6" t="s">
        <v>60</v>
      </c>
      <c r="D25" s="6" t="s">
        <v>61</v>
      </c>
      <c r="E25" s="17">
        <v>110</v>
      </c>
      <c r="F25" s="7">
        <v>10.71</v>
      </c>
      <c r="G25" s="7">
        <f>1398*0.11</f>
        <v>153.78</v>
      </c>
      <c r="H25" s="7">
        <f>24.34*0.11</f>
        <v>2.6774</v>
      </c>
      <c r="I25" s="7">
        <f>35.83*0.11</f>
        <v>3.9413</v>
      </c>
      <c r="J25" s="9">
        <f>244.56*0.11</f>
        <v>26.901600000000002</v>
      </c>
    </row>
    <row r="26" spans="1:10" s="55" customFormat="1" x14ac:dyDescent="0.25">
      <c r="A26" s="100"/>
      <c r="B26" s="8" t="s">
        <v>18</v>
      </c>
      <c r="C26" s="6" t="s">
        <v>19</v>
      </c>
      <c r="D26" s="6" t="s">
        <v>20</v>
      </c>
      <c r="E26" s="17" t="s">
        <v>33</v>
      </c>
      <c r="F26" s="7">
        <v>2.5</v>
      </c>
      <c r="G26" s="7">
        <v>60</v>
      </c>
      <c r="H26" s="7">
        <v>7.0000000000000007E-2</v>
      </c>
      <c r="I26" s="7">
        <v>0.02</v>
      </c>
      <c r="J26" s="9">
        <v>15</v>
      </c>
    </row>
    <row r="27" spans="1:10" s="38" customFormat="1" x14ac:dyDescent="0.25">
      <c r="A27" s="100"/>
      <c r="B27" s="8" t="s">
        <v>21</v>
      </c>
      <c r="C27" s="6" t="s">
        <v>70</v>
      </c>
      <c r="D27" s="6" t="s">
        <v>71</v>
      </c>
      <c r="E27" s="17">
        <v>50</v>
      </c>
      <c r="F27" s="7">
        <v>3.98</v>
      </c>
      <c r="G27" s="7">
        <v>160.5</v>
      </c>
      <c r="H27" s="7">
        <v>3.39</v>
      </c>
      <c r="I27" s="7">
        <v>6.98</v>
      </c>
      <c r="J27" s="9">
        <v>21.07</v>
      </c>
    </row>
    <row r="28" spans="1:10" ht="15.75" thickBot="1" x14ac:dyDescent="0.3">
      <c r="A28" s="100"/>
      <c r="B28" s="10" t="s">
        <v>14</v>
      </c>
      <c r="C28" s="11" t="s">
        <v>31</v>
      </c>
      <c r="D28" s="11" t="s">
        <v>32</v>
      </c>
      <c r="E28" s="18">
        <v>18</v>
      </c>
      <c r="F28" s="19">
        <v>0.81</v>
      </c>
      <c r="G28" s="19">
        <f>229.7*0.18</f>
        <v>41.345999999999997</v>
      </c>
      <c r="H28" s="12">
        <f>6.7*0.18</f>
        <v>1.206</v>
      </c>
      <c r="I28" s="12">
        <f>1.1*0.18</f>
        <v>0.19800000000000001</v>
      </c>
      <c r="J28" s="13">
        <f>48.3*0.18</f>
        <v>8.6939999999999991</v>
      </c>
    </row>
    <row r="29" spans="1:10" ht="16.5" thickBot="1" x14ac:dyDescent="0.3">
      <c r="A29" s="84" t="s">
        <v>15</v>
      </c>
      <c r="B29" s="91"/>
      <c r="C29" s="91"/>
      <c r="D29" s="91"/>
      <c r="E29" s="101"/>
      <c r="F29" s="23">
        <f>SUM(F23:F28)</f>
        <v>77.000000000000014</v>
      </c>
      <c r="G29" s="23">
        <f>SUM(G23:G28)</f>
        <v>678.48599999999999</v>
      </c>
      <c r="H29" s="23">
        <f>SUM(H23:H28)</f>
        <v>19.336400000000001</v>
      </c>
      <c r="I29" s="23">
        <f>SUM(I23:I28)</f>
        <v>27.300699999999999</v>
      </c>
      <c r="J29" s="23">
        <f>SUM(J23:J28)</f>
        <v>86.573000000000008</v>
      </c>
    </row>
    <row r="31" spans="1:10" ht="15.75" thickBot="1" x14ac:dyDescent="0.3">
      <c r="A31" s="76" t="s">
        <v>25</v>
      </c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15.75" x14ac:dyDescent="0.25">
      <c r="A32" s="24"/>
      <c r="B32" s="24"/>
      <c r="C32" s="77" t="s">
        <v>23</v>
      </c>
      <c r="D32" s="77"/>
      <c r="G32" s="78"/>
      <c r="H32" s="78"/>
      <c r="I32" s="78"/>
      <c r="J32" s="78"/>
    </row>
    <row r="33" spans="1:4" x14ac:dyDescent="0.25">
      <c r="A33" s="1"/>
      <c r="B33" s="1"/>
      <c r="C33" s="1"/>
      <c r="D33" s="1"/>
    </row>
    <row r="34" spans="1:4" x14ac:dyDescent="0.25">
      <c r="A34" s="68" t="s">
        <v>24</v>
      </c>
      <c r="B34" s="68"/>
    </row>
    <row r="35" spans="1:4" x14ac:dyDescent="0.25">
      <c r="A35" s="68" t="s">
        <v>26</v>
      </c>
      <c r="B35" s="68"/>
    </row>
    <row r="36" spans="1:4" x14ac:dyDescent="0.25">
      <c r="A36" s="4"/>
    </row>
  </sheetData>
  <mergeCells count="17">
    <mergeCell ref="A34:B34"/>
    <mergeCell ref="A35:B35"/>
    <mergeCell ref="A9:A12"/>
    <mergeCell ref="A13:E13"/>
    <mergeCell ref="A14:A15"/>
    <mergeCell ref="A16:E16"/>
    <mergeCell ref="A23:A28"/>
    <mergeCell ref="A29:E29"/>
    <mergeCell ref="A31:J31"/>
    <mergeCell ref="C32:D32"/>
    <mergeCell ref="G32:J32"/>
    <mergeCell ref="A22:E22"/>
    <mergeCell ref="B1:C1"/>
    <mergeCell ref="G1:J1"/>
    <mergeCell ref="A8:E8"/>
    <mergeCell ref="A17:A21"/>
    <mergeCell ref="A3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2022-09-14T11:52:21Z</dcterms:modified>
</cp:coreProperties>
</file>