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2" l="1"/>
  <c r="H24" i="2"/>
  <c r="I24" i="2"/>
  <c r="J24" i="2"/>
  <c r="F24" i="2"/>
  <c r="G32" i="2"/>
  <c r="H32" i="2"/>
  <c r="I32" i="2"/>
  <c r="J32" i="2"/>
  <c r="J27" i="2"/>
  <c r="I27" i="2"/>
  <c r="H27" i="2"/>
  <c r="G27" i="2"/>
  <c r="F32" i="2"/>
  <c r="J25" i="2"/>
  <c r="I25" i="2"/>
  <c r="H25" i="2"/>
  <c r="G25" i="2"/>
  <c r="J31" i="2" l="1"/>
  <c r="I31" i="2"/>
  <c r="H31" i="2"/>
  <c r="G31" i="2"/>
  <c r="J30" i="2" l="1"/>
  <c r="I30" i="2"/>
  <c r="H30" i="2"/>
  <c r="G30" i="2"/>
  <c r="J28" i="2"/>
  <c r="I28" i="2"/>
  <c r="H28" i="2"/>
  <c r="G28" i="2"/>
  <c r="J26" i="2"/>
  <c r="I26" i="2"/>
  <c r="H26" i="2"/>
  <c r="G26" i="2"/>
  <c r="J23" i="2"/>
  <c r="I23" i="2"/>
  <c r="H23" i="2"/>
  <c r="G23" i="2"/>
  <c r="J20" i="2"/>
  <c r="I20" i="2"/>
  <c r="H20" i="2"/>
  <c r="G20" i="2"/>
  <c r="J21" i="2"/>
  <c r="I21" i="2"/>
  <c r="H21" i="2"/>
  <c r="G21" i="2"/>
  <c r="J19" i="2"/>
  <c r="I19" i="2"/>
  <c r="H19" i="2"/>
  <c r="G19" i="2"/>
  <c r="J16" i="2"/>
  <c r="I16" i="2"/>
  <c r="H16" i="2"/>
  <c r="G16" i="2"/>
  <c r="J14" i="2" l="1"/>
  <c r="I14" i="2"/>
  <c r="H14" i="2"/>
  <c r="G14" i="2"/>
  <c r="J12" i="2"/>
  <c r="I12" i="2"/>
  <c r="H12" i="2"/>
  <c r="G12" i="2"/>
  <c r="J11" i="2"/>
  <c r="I11" i="2"/>
  <c r="H11" i="2"/>
  <c r="G11" i="2"/>
  <c r="J9" i="2" l="1"/>
  <c r="I9" i="2"/>
  <c r="H9" i="2"/>
  <c r="G9" i="2"/>
  <c r="J3" i="2"/>
  <c r="I3" i="2"/>
  <c r="H3" i="2"/>
  <c r="G3" i="2"/>
  <c r="F10" i="2"/>
  <c r="G7" i="1" l="1"/>
  <c r="H7" i="1"/>
  <c r="I7" i="1"/>
  <c r="J7" i="1"/>
  <c r="J6" i="2" l="1"/>
  <c r="I6" i="2"/>
  <c r="H6" i="2"/>
  <c r="G6" i="2"/>
  <c r="J5" i="2"/>
  <c r="I5" i="2"/>
  <c r="H5" i="2"/>
  <c r="G5" i="2"/>
  <c r="J4" i="2"/>
  <c r="I4" i="2"/>
  <c r="H4" i="2"/>
  <c r="G4" i="2"/>
  <c r="J25" i="1"/>
  <c r="I25" i="1"/>
  <c r="H25" i="1"/>
  <c r="G25" i="1"/>
  <c r="J24" i="1"/>
  <c r="I24" i="1"/>
  <c r="H24" i="1"/>
  <c r="G24" i="1"/>
  <c r="J21" i="1"/>
  <c r="I21" i="1"/>
  <c r="H21" i="1"/>
  <c r="G21" i="1"/>
  <c r="J20" i="1"/>
  <c r="I20" i="1"/>
  <c r="H20" i="1"/>
  <c r="G20" i="1"/>
  <c r="J18" i="1" l="1"/>
  <c r="I18" i="1"/>
  <c r="H18" i="1"/>
  <c r="G18" i="1"/>
  <c r="J17" i="1"/>
  <c r="I17" i="1"/>
  <c r="H17" i="1"/>
  <c r="G17" i="1"/>
  <c r="J16" i="1"/>
  <c r="I16" i="1"/>
  <c r="H16" i="1"/>
  <c r="G16" i="1"/>
  <c r="J14" i="1"/>
  <c r="I14" i="1"/>
  <c r="H14" i="1"/>
  <c r="G14" i="1"/>
  <c r="J12" i="1"/>
  <c r="I12" i="1"/>
  <c r="H12" i="1"/>
  <c r="G12" i="1"/>
  <c r="J11" i="1"/>
  <c r="I11" i="1"/>
  <c r="H11" i="1"/>
  <c r="G11" i="1"/>
  <c r="J8" i="1"/>
  <c r="I8" i="1"/>
  <c r="H8" i="1"/>
  <c r="G8" i="1"/>
  <c r="J5" i="1"/>
  <c r="I5" i="1"/>
  <c r="H5" i="1"/>
  <c r="G5" i="1"/>
  <c r="J3" i="1"/>
  <c r="I3" i="1"/>
  <c r="H3" i="1"/>
  <c r="G3" i="1"/>
  <c r="G10" i="2" l="1"/>
  <c r="H10" i="2"/>
  <c r="I10" i="2"/>
  <c r="J10" i="2"/>
  <c r="F22" i="1"/>
  <c r="J22" i="1" l="1"/>
  <c r="I22" i="1"/>
  <c r="H22" i="1"/>
  <c r="G22" i="1"/>
  <c r="F9" i="1"/>
  <c r="J4" i="1"/>
  <c r="J9" i="1" s="1"/>
  <c r="I4" i="1"/>
  <c r="I9" i="1" s="1"/>
  <c r="H4" i="1"/>
  <c r="H9" i="1" s="1"/>
  <c r="G4" i="1"/>
  <c r="G9" i="1" s="1"/>
  <c r="J10" i="1" l="1"/>
  <c r="I10" i="1"/>
  <c r="H10" i="1"/>
  <c r="G10" i="1"/>
  <c r="F26" i="1"/>
  <c r="J26" i="1"/>
  <c r="I26" i="1"/>
  <c r="H26" i="1"/>
  <c r="G26" i="1"/>
  <c r="G18" i="2" l="1"/>
  <c r="F15" i="1" l="1"/>
  <c r="J15" i="1" l="1"/>
  <c r="H15" i="1"/>
  <c r="G15" i="1"/>
  <c r="I15" i="1" l="1"/>
  <c r="F18" i="2" l="1"/>
  <c r="H18" i="2"/>
  <c r="F15" i="2"/>
  <c r="G15" i="2" l="1"/>
  <c r="I15" i="2"/>
  <c r="J18" i="2"/>
  <c r="H15" i="2"/>
  <c r="J15" i="2"/>
  <c r="I18" i="2"/>
</calcChain>
</file>

<file path=xl/sharedStrings.xml><?xml version="1.0" encoding="utf-8"?>
<sst xmlns="http://schemas.openxmlformats.org/spreadsheetml/2006/main" count="205" uniqueCount="81">
  <si>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</si>
  <si>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</si>
  <si>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</si>
  <si>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</si>
  <si>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</si>
  <si>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</si>
  <si>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</si>
  <si>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</si>
  <si>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</si>
  <si>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</si>
  <si>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</si>
  <si>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</si>
  <si>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</si>
  <si>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</si>
  <si>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</si>
  <si>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</si>
  <si>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</si>
  <si>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</si>
  <si>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</si>
  <si>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</si>
  <si>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</si>
  <si>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</si>
  <si>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</si>
  <si>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</si>
  <si>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</si>
  <si>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</si>
  <si>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</si>
  <si>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</si>
  <si>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</si>
  <si>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</si>
  <si>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</si>
  <si>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</si>
  <si>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</si>
  <si>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</si>
  <si>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</si>
  <si>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</si>
  <si>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>Завтрак бюджетный 1-я смена и полдник для детей-инвалидов 2-я смена 5-11 кл</t>
  </si>
  <si>
    <t>Напиток</t>
  </si>
  <si>
    <t xml:space="preserve">Обед дети-инвалиды 5-11 кл 1 смена </t>
  </si>
  <si>
    <t>ТТК №18</t>
  </si>
  <si>
    <t>Филе цыплёнка запечённое</t>
  </si>
  <si>
    <t>Кондитерское изделие</t>
  </si>
  <si>
    <t>ПР</t>
  </si>
  <si>
    <t>Молочный коктейль "Авишка" 2,5 %</t>
  </si>
  <si>
    <t>№424-2015г.</t>
  </si>
  <si>
    <t>Булочка домашняя</t>
  </si>
  <si>
    <t>№686-2004г.</t>
  </si>
  <si>
    <t>Чай с лимоном</t>
  </si>
  <si>
    <t>200/15/7</t>
  </si>
  <si>
    <t>№88-2015г.</t>
  </si>
  <si>
    <t>Фрукт</t>
  </si>
  <si>
    <t>№338-2015г.</t>
  </si>
  <si>
    <t>№268-2015г.</t>
  </si>
  <si>
    <t>Котлета из свинины</t>
  </si>
  <si>
    <t>№304-2015г.</t>
  </si>
  <si>
    <t>Рис отварной</t>
  </si>
  <si>
    <t>№71-2015г.</t>
  </si>
  <si>
    <t>Овощи натуральные свежие (помидоры)</t>
  </si>
  <si>
    <t>Зефир бело-розовый</t>
  </si>
  <si>
    <t>Овощи натуральные свежие (огурцы)</t>
  </si>
  <si>
    <t>№203-2015г.</t>
  </si>
  <si>
    <t>Макароны отварные с маслом</t>
  </si>
  <si>
    <t>120/6</t>
  </si>
  <si>
    <t>Щи из свежей капусты с картофелем со сметаной и зеленью</t>
  </si>
  <si>
    <t>250/10/2</t>
  </si>
  <si>
    <t>№15-2015г.</t>
  </si>
  <si>
    <t>Сыр "Российский" (порциями)</t>
  </si>
  <si>
    <t>Пряник сливочный</t>
  </si>
  <si>
    <t>Груша свежая (порциями)</t>
  </si>
  <si>
    <t>№243-2015г.</t>
  </si>
  <si>
    <t>Сосиска отварная</t>
  </si>
  <si>
    <t>Завтрак 5-11 кл с доплатой 70,00 руб.1 смена</t>
  </si>
  <si>
    <t>Обед 6-7 кл. с доплатой 70,00 руб. 2-я смена</t>
  </si>
  <si>
    <t>№306-2015г.</t>
  </si>
  <si>
    <t xml:space="preserve">Бобовые отварные (кукуруза сахарная консервированная) </t>
  </si>
  <si>
    <t>№2-2015г.</t>
  </si>
  <si>
    <t>Бутерброд с повидлом</t>
  </si>
  <si>
    <t>20/36</t>
  </si>
  <si>
    <t>Напиток (сладкое блюдо)</t>
  </si>
  <si>
    <t>№342-2015г.</t>
  </si>
  <si>
    <t>Компот из свежих груш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</si>
</sst>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/>
    <xf numFmtId="2" fontId="3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2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2" fontId="2" fillId="0" borderId="14" xfId="0" applyNumberFormat="1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3" fillId="0" borderId="7" xfId="0" applyNumberFormat="1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2" fontId="6" fillId="0" borderId="4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/>
    <xf numFmtId="2" fontId="3" fillId="0" borderId="26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/>
    <xf numFmtId="2" fontId="2" fillId="0" borderId="15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3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/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0" xfId="0" applyFont="1"/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horizontal="right"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9" xfId="0" applyFont="1" applyBorder="1" applyAlignment="1">
      <alignment horizontal="right" vertical="center" wrapText="1"/>
    </xf>
    <xf numFmtId="2" fontId="2" fillId="0" borderId="39" xfId="0" applyNumberFormat="1" applyFont="1" applyBorder="1" applyAlignment="1">
      <alignment horizontal="right" vertical="center" wrapText="1"/>
    </xf>
    <xf numFmtId="2" fontId="2" fillId="0" borderId="39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2" fontId="3" fillId="0" borderId="27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right" vertical="center" wrapText="1"/>
    </xf>
    <xf numFmtId="2" fontId="2" fillId="0" borderId="45" xfId="0" applyNumberFormat="1" applyFont="1" applyBorder="1" applyAlignment="1">
      <alignment horizontal="right" vertical="center" wrapText="1"/>
    </xf>
    <xf numFmtId="2" fontId="2" fillId="0" borderId="46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2" fontId="2" fillId="0" borderId="37" xfId="0" applyNumberFormat="1" applyFont="1" applyBorder="1" applyAlignment="1">
      <alignment horizontal="right" vertical="center" wrapText="1"/>
    </xf>
    <xf numFmtId="2" fontId="6" fillId="0" borderId="37" xfId="0" applyNumberFormat="1" applyFont="1" applyBorder="1" applyAlignment="1">
      <alignment horizontal="right" vertical="center" wrapText="1"/>
    </xf>
    <xf numFmtId="2" fontId="6" fillId="0" borderId="47" xfId="0" applyNumberFormat="1" applyFont="1" applyBorder="1" applyAlignment="1">
      <alignment horizontal="right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2" fillId="0" borderId="0" xfId="0" applyFont="1"/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9" xfId="0" applyNumberFormat="1" applyFont="1" applyBorder="1" applyAlignment="1">
      <alignment horizontal="center" vertical="center" wrapText="1"/>
    </xf>
    <xf numFmtId="14" fontId="5" fillId="0" borderId="20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 vertical="center" wrapText="1"/>
    </xf>
    <xf numFmtId="0" fontId="2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48" xfId="0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right" vertical="center" wrapText="1"/>
    </xf>
    <xf numFmtId="2" fontId="3" fillId="0" borderId="49" xfId="0" applyNumberFormat="1" applyFont="1" applyBorder="1" applyAlignment="1">
      <alignment vertical="center" wrapText="1"/>
    </xf>
  </cellXfs>
  <cellStyles count="6">
    <cellStyle name="Обычный" xfId="0" builtinId="0"/>
    <cellStyle name="Обычный 2" xfId="2"/>
    <cellStyle name="Обычный 2 2" xfId="3"/>
    <cellStyle name="Обычный 2 3" xfId="4"/>
    <cellStyle name="Обычный 2 4" xfId="1"/>
    <cellStyle name="Обычный 2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B16" sqref="B16:J20"/>
    </sheetView>
  </sheetViews>
  <sheetFormatPr defaultRowHeight="15" x14ac:dyDescent="0.25"/>
  <cols>
    <col min="1" max="1" width="20.140625" style="2" customWidth="1"/>
    <col min="2" max="2" width="24.7109375" style="2" customWidth="1"/>
    <col min="3" max="3" width="12.28515625" style="2" customWidth="1"/>
    <col min="4" max="4" width="53.140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2" t="s">
        <v>22</v>
      </c>
      <c r="C1" s="73"/>
      <c r="D1" s="1" t="s">
        <v>1</v>
      </c>
      <c r="E1" s="26"/>
      <c r="F1" s="1" t="s">
        <v>2</v>
      </c>
      <c r="G1" s="74">
        <v>44823</v>
      </c>
      <c r="H1" s="75"/>
      <c r="I1" s="75"/>
      <c r="J1" s="76"/>
      <c r="K1" s="1"/>
      <c r="L1" s="1"/>
    </row>
    <row r="2" spans="1:12" ht="15.75" thickBot="1" x14ac:dyDescent="0.3">
      <c r="A2" s="32" t="s">
        <v>3</v>
      </c>
      <c r="B2" s="5" t="s">
        <v>4</v>
      </c>
      <c r="C2" s="33" t="s">
        <v>5</v>
      </c>
      <c r="D2" s="37" t="s">
        <v>6</v>
      </c>
      <c r="E2" s="37" t="s">
        <v>7</v>
      </c>
      <c r="F2" s="37" t="s">
        <v>8</v>
      </c>
      <c r="G2" s="5" t="s">
        <v>9</v>
      </c>
      <c r="H2" s="5" t="s">
        <v>10</v>
      </c>
      <c r="I2" s="5" t="s">
        <v>11</v>
      </c>
      <c r="J2" s="34" t="s">
        <v>12</v>
      </c>
    </row>
    <row r="3" spans="1:12" ht="15" customHeight="1" x14ac:dyDescent="0.25">
      <c r="A3" s="90" t="s">
        <v>27</v>
      </c>
      <c r="B3" s="70" t="s">
        <v>31</v>
      </c>
      <c r="C3" s="69" t="s">
        <v>56</v>
      </c>
      <c r="D3" s="69" t="s">
        <v>57</v>
      </c>
      <c r="E3" s="14">
        <v>30</v>
      </c>
      <c r="F3" s="15">
        <v>2.13</v>
      </c>
      <c r="G3" s="15">
        <f>11*0.6</f>
        <v>6.6</v>
      </c>
      <c r="H3" s="15">
        <f>0.55*0.6</f>
        <v>0.33</v>
      </c>
      <c r="I3" s="15">
        <f>0.1*0.6</f>
        <v>0.06</v>
      </c>
      <c r="J3" s="16">
        <f>1.9*0.6</f>
        <v>1.1399999999999999</v>
      </c>
    </row>
    <row r="4" spans="1:12" s="43" customFormat="1" ht="15" customHeight="1" x14ac:dyDescent="0.25">
      <c r="A4" s="90"/>
      <c r="B4" s="8" t="s">
        <v>13</v>
      </c>
      <c r="C4" s="6" t="s">
        <v>39</v>
      </c>
      <c r="D4" s="6" t="s">
        <v>40</v>
      </c>
      <c r="E4" s="17">
        <v>75</v>
      </c>
      <c r="F4" s="7">
        <v>62.83</v>
      </c>
      <c r="G4" s="24">
        <f>129.15*1.5</f>
        <v>193.72500000000002</v>
      </c>
      <c r="H4" s="24">
        <f>17.2*1.5</f>
        <v>25.799999999999997</v>
      </c>
      <c r="I4" s="24">
        <f>3.8*1.5</f>
        <v>5.6999999999999993</v>
      </c>
      <c r="J4" s="25">
        <f>6.6*1.5</f>
        <v>9.8999999999999986</v>
      </c>
    </row>
    <row r="5" spans="1:12" s="71" customFormat="1" x14ac:dyDescent="0.25">
      <c r="A5" s="90"/>
      <c r="B5" s="8" t="s">
        <v>17</v>
      </c>
      <c r="C5" s="6" t="s">
        <v>54</v>
      </c>
      <c r="D5" s="6" t="s">
        <v>55</v>
      </c>
      <c r="E5" s="17">
        <v>130</v>
      </c>
      <c r="F5" s="7">
        <v>12.65</v>
      </c>
      <c r="G5" s="7">
        <f>1398*0.13</f>
        <v>181.74</v>
      </c>
      <c r="H5" s="7">
        <f>24.34*0.13</f>
        <v>3.1642000000000001</v>
      </c>
      <c r="I5" s="7">
        <f>35.83*0.13</f>
        <v>4.6578999999999997</v>
      </c>
      <c r="J5" s="9">
        <f>244.56*0.13</f>
        <v>31.7928</v>
      </c>
      <c r="K5"/>
    </row>
    <row r="6" spans="1:12" s="29" customFormat="1" x14ac:dyDescent="0.25">
      <c r="A6" s="90"/>
      <c r="B6" s="8" t="s">
        <v>18</v>
      </c>
      <c r="C6" s="6" t="s">
        <v>46</v>
      </c>
      <c r="D6" s="6" t="s">
        <v>47</v>
      </c>
      <c r="E6" s="17" t="s">
        <v>48</v>
      </c>
      <c r="F6" s="7">
        <v>4.03</v>
      </c>
      <c r="G6" s="7">
        <v>62</v>
      </c>
      <c r="H6" s="24">
        <v>0.13</v>
      </c>
      <c r="I6" s="24">
        <v>0.02</v>
      </c>
      <c r="J6" s="25">
        <v>15.2</v>
      </c>
      <c r="K6"/>
    </row>
    <row r="7" spans="1:12" s="68" customFormat="1" x14ac:dyDescent="0.25">
      <c r="A7" s="90"/>
      <c r="B7" s="58" t="s">
        <v>41</v>
      </c>
      <c r="C7" s="59" t="s">
        <v>42</v>
      </c>
      <c r="D7" s="59" t="s">
        <v>58</v>
      </c>
      <c r="E7" s="60">
        <v>58</v>
      </c>
      <c r="F7" s="61">
        <v>15.02</v>
      </c>
      <c r="G7" s="61">
        <f>330*0.58</f>
        <v>191.39999999999998</v>
      </c>
      <c r="H7" s="61">
        <f>1*0.58</f>
        <v>0.57999999999999996</v>
      </c>
      <c r="I7" s="61">
        <f>0</f>
        <v>0</v>
      </c>
      <c r="J7" s="62">
        <f>81*0.58</f>
        <v>46.98</v>
      </c>
      <c r="K7"/>
    </row>
    <row r="8" spans="1:12" s="39" customFormat="1" ht="15.75" thickBot="1" x14ac:dyDescent="0.3">
      <c r="A8" s="90"/>
      <c r="B8" s="47" t="s">
        <v>14</v>
      </c>
      <c r="C8" s="48" t="s">
        <v>32</v>
      </c>
      <c r="D8" s="48" t="s">
        <v>33</v>
      </c>
      <c r="E8" s="49">
        <v>11</v>
      </c>
      <c r="F8" s="50">
        <v>0.49</v>
      </c>
      <c r="G8" s="50">
        <f>229.7*0.11</f>
        <v>25.266999999999999</v>
      </c>
      <c r="H8" s="51">
        <f>6.7*0.11</f>
        <v>0.73699999999999999</v>
      </c>
      <c r="I8" s="51">
        <f>1.1*0.11</f>
        <v>0.12100000000000001</v>
      </c>
      <c r="J8" s="52">
        <f>48.3*0.11</f>
        <v>5.3129999999999997</v>
      </c>
    </row>
    <row r="9" spans="1:12" ht="16.5" thickBot="1" x14ac:dyDescent="0.3">
      <c r="A9" s="80" t="s">
        <v>15</v>
      </c>
      <c r="B9" s="81"/>
      <c r="C9" s="81"/>
      <c r="D9" s="81"/>
      <c r="E9" s="82"/>
      <c r="F9" s="53">
        <f>SUM(F3:F8)</f>
        <v>97.149999999999991</v>
      </c>
      <c r="G9" s="53">
        <f>SUM(G3:G8)</f>
        <v>660.73200000000008</v>
      </c>
      <c r="H9" s="53">
        <f>SUM(H3:H8)</f>
        <v>30.741199999999992</v>
      </c>
      <c r="I9" s="53">
        <f>SUM(I3:I8)</f>
        <v>10.5589</v>
      </c>
      <c r="J9" s="53">
        <f>SUM(J3:J8)</f>
        <v>110.3258</v>
      </c>
    </row>
    <row r="10" spans="1:12" ht="30" x14ac:dyDescent="0.25">
      <c r="A10" s="83" t="s">
        <v>28</v>
      </c>
      <c r="B10" s="21" t="s">
        <v>16</v>
      </c>
      <c r="C10" s="22" t="s">
        <v>49</v>
      </c>
      <c r="D10" s="22" t="s">
        <v>63</v>
      </c>
      <c r="E10" s="14" t="s">
        <v>64</v>
      </c>
      <c r="F10" s="15">
        <v>9.75</v>
      </c>
      <c r="G10" s="15">
        <f>359*0.25+162*0.1</f>
        <v>105.95</v>
      </c>
      <c r="H10" s="15">
        <f>7.06*0.25+2.6*0.1</f>
        <v>2.0249999999999999</v>
      </c>
      <c r="I10" s="15">
        <f>19.8*0.25+15*0.1</f>
        <v>6.45</v>
      </c>
      <c r="J10" s="16">
        <f>31.61*0.25+3.6*0.1</f>
        <v>8.2624999999999993</v>
      </c>
      <c r="K10"/>
    </row>
    <row r="11" spans="1:12" x14ac:dyDescent="0.25">
      <c r="A11" s="83"/>
      <c r="B11" s="44" t="s">
        <v>13</v>
      </c>
      <c r="C11" s="45" t="s">
        <v>52</v>
      </c>
      <c r="D11" s="45" t="s">
        <v>53</v>
      </c>
      <c r="E11" s="46">
        <v>35</v>
      </c>
      <c r="F11" s="65">
        <v>16.649999999999999</v>
      </c>
      <c r="G11" s="66">
        <f>273/75*35</f>
        <v>127.4</v>
      </c>
      <c r="H11" s="66">
        <f>10.11/75*35</f>
        <v>4.718</v>
      </c>
      <c r="I11" s="66">
        <f>20.87/75*35</f>
        <v>9.7393333333333327</v>
      </c>
      <c r="J11" s="67">
        <f>10.64/75*35</f>
        <v>4.9653333333333336</v>
      </c>
      <c r="K11"/>
    </row>
    <row r="12" spans="1:12" s="71" customFormat="1" ht="15" customHeight="1" x14ac:dyDescent="0.25">
      <c r="A12" s="83"/>
      <c r="B12" s="8" t="s">
        <v>17</v>
      </c>
      <c r="C12" s="6" t="s">
        <v>60</v>
      </c>
      <c r="D12" s="6" t="s">
        <v>61</v>
      </c>
      <c r="E12" s="17" t="s">
        <v>62</v>
      </c>
      <c r="F12" s="7">
        <v>11.73</v>
      </c>
      <c r="G12" s="24">
        <f>137*1.2</f>
        <v>164.4</v>
      </c>
      <c r="H12" s="24">
        <f>3.82*1.2</f>
        <v>4.5839999999999996</v>
      </c>
      <c r="I12" s="24">
        <f>4.05*1.2</f>
        <v>4.8599999999999994</v>
      </c>
      <c r="J12" s="25">
        <f>21.32*1.2</f>
        <v>25.584</v>
      </c>
    </row>
    <row r="13" spans="1:12" s="29" customFormat="1" x14ac:dyDescent="0.25">
      <c r="A13" s="83"/>
      <c r="B13" s="8" t="s">
        <v>18</v>
      </c>
      <c r="C13" s="6" t="s">
        <v>19</v>
      </c>
      <c r="D13" s="6" t="s">
        <v>20</v>
      </c>
      <c r="E13" s="17" t="s">
        <v>34</v>
      </c>
      <c r="F13" s="7">
        <v>2.5</v>
      </c>
      <c r="G13" s="7">
        <v>60</v>
      </c>
      <c r="H13" s="7">
        <v>7.0000000000000007E-2</v>
      </c>
      <c r="I13" s="7">
        <v>0.02</v>
      </c>
      <c r="J13" s="9">
        <v>15</v>
      </c>
    </row>
    <row r="14" spans="1:12" ht="15.75" thickBot="1" x14ac:dyDescent="0.3">
      <c r="A14" s="83"/>
      <c r="B14" s="10" t="s">
        <v>14</v>
      </c>
      <c r="C14" s="11" t="s">
        <v>32</v>
      </c>
      <c r="D14" s="11" t="s">
        <v>33</v>
      </c>
      <c r="E14" s="18">
        <v>37</v>
      </c>
      <c r="F14" s="19">
        <v>1.66</v>
      </c>
      <c r="G14" s="19">
        <f>229.7*0.37</f>
        <v>84.98899999999999</v>
      </c>
      <c r="H14" s="12">
        <f>6.7*0.37</f>
        <v>2.4790000000000001</v>
      </c>
      <c r="I14" s="12">
        <f>1.1*0.37</f>
        <v>0.40700000000000003</v>
      </c>
      <c r="J14" s="13">
        <f>48.3*0.37</f>
        <v>17.870999999999999</v>
      </c>
    </row>
    <row r="15" spans="1:12" ht="16.5" thickBot="1" x14ac:dyDescent="0.3">
      <c r="A15" s="84" t="s">
        <v>15</v>
      </c>
      <c r="B15" s="85"/>
      <c r="C15" s="85"/>
      <c r="D15" s="85"/>
      <c r="E15" s="86"/>
      <c r="F15" s="28">
        <f>SUM(F10:F14)</f>
        <v>42.289999999999992</v>
      </c>
      <c r="G15" s="28">
        <f t="shared" ref="G15:J15" si="0">SUM(G10:G14)</f>
        <v>542.73900000000003</v>
      </c>
      <c r="H15" s="28">
        <f t="shared" si="0"/>
        <v>13.876000000000001</v>
      </c>
      <c r="I15" s="28">
        <f t="shared" si="0"/>
        <v>21.476333333333333</v>
      </c>
      <c r="J15" s="28">
        <f t="shared" si="0"/>
        <v>71.682833333333335</v>
      </c>
    </row>
    <row r="16" spans="1:12" s="68" customFormat="1" ht="30" x14ac:dyDescent="0.25">
      <c r="A16" s="96" t="s">
        <v>29</v>
      </c>
      <c r="B16" s="21" t="s">
        <v>16</v>
      </c>
      <c r="C16" s="22" t="s">
        <v>49</v>
      </c>
      <c r="D16" s="22" t="s">
        <v>63</v>
      </c>
      <c r="E16" s="14" t="s">
        <v>64</v>
      </c>
      <c r="F16" s="15">
        <v>9.75</v>
      </c>
      <c r="G16" s="15">
        <f>359*0.25+162*0.1</f>
        <v>105.95</v>
      </c>
      <c r="H16" s="15">
        <f>7.06*0.25+2.6*0.1</f>
        <v>2.0249999999999999</v>
      </c>
      <c r="I16" s="15">
        <f>19.8*0.25+15*0.1</f>
        <v>6.45</v>
      </c>
      <c r="J16" s="16">
        <f>31.61*0.25+3.6*0.1</f>
        <v>8.2624999999999993</v>
      </c>
    </row>
    <row r="17" spans="1:11" s="38" customFormat="1" x14ac:dyDescent="0.25">
      <c r="A17" s="97"/>
      <c r="B17" s="8" t="s">
        <v>13</v>
      </c>
      <c r="C17" s="6" t="s">
        <v>52</v>
      </c>
      <c r="D17" s="6" t="s">
        <v>53</v>
      </c>
      <c r="E17" s="17">
        <v>60</v>
      </c>
      <c r="F17" s="7">
        <v>28.55</v>
      </c>
      <c r="G17" s="24">
        <f>273/75*60</f>
        <v>218.4</v>
      </c>
      <c r="H17" s="24">
        <f>10.11/75*60</f>
        <v>8.088000000000001</v>
      </c>
      <c r="I17" s="24">
        <f>20.87/75*60</f>
        <v>16.695999999999998</v>
      </c>
      <c r="J17" s="25">
        <f>10.64/75*60</f>
        <v>8.5120000000000005</v>
      </c>
    </row>
    <row r="18" spans="1:11" s="71" customFormat="1" ht="15" customHeight="1" x14ac:dyDescent="0.25">
      <c r="A18" s="97"/>
      <c r="B18" s="8" t="s">
        <v>17</v>
      </c>
      <c r="C18" s="6" t="s">
        <v>60</v>
      </c>
      <c r="D18" s="6" t="s">
        <v>61</v>
      </c>
      <c r="E18" s="17" t="s">
        <v>62</v>
      </c>
      <c r="F18" s="7">
        <v>11.73</v>
      </c>
      <c r="G18" s="24">
        <f>137*1.2</f>
        <v>164.4</v>
      </c>
      <c r="H18" s="24">
        <f>3.82*1.2</f>
        <v>4.5839999999999996</v>
      </c>
      <c r="I18" s="24">
        <f>4.05*1.2</f>
        <v>4.8599999999999994</v>
      </c>
      <c r="J18" s="25">
        <f>21.32*1.2</f>
        <v>25.584</v>
      </c>
    </row>
    <row r="19" spans="1:11" s="35" customFormat="1" x14ac:dyDescent="0.25">
      <c r="A19" s="97"/>
      <c r="B19" s="8" t="s">
        <v>37</v>
      </c>
      <c r="C19" s="6" t="s">
        <v>42</v>
      </c>
      <c r="D19" s="6" t="s">
        <v>43</v>
      </c>
      <c r="E19" s="17">
        <v>200</v>
      </c>
      <c r="F19" s="7">
        <v>37.24</v>
      </c>
      <c r="G19" s="7">
        <v>160</v>
      </c>
      <c r="H19" s="7">
        <v>6.2</v>
      </c>
      <c r="I19" s="7">
        <v>5</v>
      </c>
      <c r="J19" s="9">
        <v>22</v>
      </c>
    </row>
    <row r="20" spans="1:11" s="38" customFormat="1" x14ac:dyDescent="0.25">
      <c r="A20" s="97"/>
      <c r="B20" s="8" t="s">
        <v>41</v>
      </c>
      <c r="C20" s="6" t="s">
        <v>42</v>
      </c>
      <c r="D20" s="6" t="s">
        <v>67</v>
      </c>
      <c r="E20" s="111">
        <v>35</v>
      </c>
      <c r="F20" s="112">
        <v>8.2899999999999991</v>
      </c>
      <c r="G20" s="55">
        <f>350*0.35</f>
        <v>122.49999999999999</v>
      </c>
      <c r="H20" s="55">
        <f>5*0.35</f>
        <v>1.75</v>
      </c>
      <c r="I20" s="55">
        <f>6*0.35</f>
        <v>2.0999999999999996</v>
      </c>
      <c r="J20" s="56">
        <f>69*0.35</f>
        <v>24.15</v>
      </c>
    </row>
    <row r="21" spans="1:11" s="35" customFormat="1" ht="15.75" thickBot="1" x14ac:dyDescent="0.3">
      <c r="A21" s="98"/>
      <c r="B21" s="10" t="s">
        <v>14</v>
      </c>
      <c r="C21" s="11" t="s">
        <v>32</v>
      </c>
      <c r="D21" s="11" t="s">
        <v>33</v>
      </c>
      <c r="E21" s="18">
        <v>35.5</v>
      </c>
      <c r="F21" s="19">
        <v>1.59</v>
      </c>
      <c r="G21" s="19">
        <f>229.7*0.355</f>
        <v>81.543499999999995</v>
      </c>
      <c r="H21" s="12">
        <f>6.7*0.355</f>
        <v>2.3784999999999998</v>
      </c>
      <c r="I21" s="12">
        <f>1.1*0.355</f>
        <v>0.39050000000000001</v>
      </c>
      <c r="J21" s="13">
        <f>48.3*0.355</f>
        <v>17.1465</v>
      </c>
    </row>
    <row r="22" spans="1:11" s="30" customFormat="1" ht="16.5" thickBot="1" x14ac:dyDescent="0.3">
      <c r="A22" s="80" t="s">
        <v>15</v>
      </c>
      <c r="B22" s="87"/>
      <c r="C22" s="87"/>
      <c r="D22" s="87"/>
      <c r="E22" s="88"/>
      <c r="F22" s="20">
        <f>SUM(F16:F21)</f>
        <v>97.15</v>
      </c>
      <c r="G22" s="20">
        <f t="shared" ref="G22:J22" si="1">SUM(G16:G21)</f>
        <v>852.79349999999999</v>
      </c>
      <c r="H22" s="20">
        <f t="shared" si="1"/>
        <v>25.025500000000001</v>
      </c>
      <c r="I22" s="20">
        <f t="shared" si="1"/>
        <v>35.496500000000005</v>
      </c>
      <c r="J22" s="20">
        <f t="shared" si="1"/>
        <v>105.655</v>
      </c>
      <c r="K22"/>
    </row>
    <row r="23" spans="1:11" s="57" customFormat="1" x14ac:dyDescent="0.25">
      <c r="A23" s="91" t="s">
        <v>30</v>
      </c>
      <c r="B23" s="21" t="s">
        <v>18</v>
      </c>
      <c r="C23" s="22" t="s">
        <v>19</v>
      </c>
      <c r="D23" s="22" t="s">
        <v>20</v>
      </c>
      <c r="E23" s="14" t="s">
        <v>34</v>
      </c>
      <c r="F23" s="15">
        <v>2.5</v>
      </c>
      <c r="G23" s="15">
        <v>60</v>
      </c>
      <c r="H23" s="15">
        <v>7.0000000000000007E-2</v>
      </c>
      <c r="I23" s="15">
        <v>0.02</v>
      </c>
      <c r="J23" s="16">
        <v>15</v>
      </c>
      <c r="K23"/>
    </row>
    <row r="24" spans="1:11" s="57" customFormat="1" x14ac:dyDescent="0.25">
      <c r="A24" s="92"/>
      <c r="B24" s="58" t="s">
        <v>41</v>
      </c>
      <c r="C24" s="59" t="s">
        <v>42</v>
      </c>
      <c r="D24" s="59" t="s">
        <v>58</v>
      </c>
      <c r="E24" s="60">
        <v>58</v>
      </c>
      <c r="F24" s="61">
        <v>15.02</v>
      </c>
      <c r="G24" s="61">
        <f>330*0.58</f>
        <v>191.39999999999998</v>
      </c>
      <c r="H24" s="61">
        <f>1*0.58</f>
        <v>0.57999999999999996</v>
      </c>
      <c r="I24" s="61">
        <f>0</f>
        <v>0</v>
      </c>
      <c r="J24" s="62">
        <f>81*0.58</f>
        <v>46.98</v>
      </c>
      <c r="K24"/>
    </row>
    <row r="25" spans="1:11" s="57" customFormat="1" ht="15.75" thickBot="1" x14ac:dyDescent="0.3">
      <c r="A25" s="92"/>
      <c r="B25" s="10" t="s">
        <v>50</v>
      </c>
      <c r="C25" s="11" t="s">
        <v>51</v>
      </c>
      <c r="D25" s="11" t="s">
        <v>68</v>
      </c>
      <c r="E25" s="18">
        <v>140</v>
      </c>
      <c r="F25" s="19">
        <v>24.77</v>
      </c>
      <c r="G25" s="63">
        <f>47*1.4</f>
        <v>65.8</v>
      </c>
      <c r="H25" s="63">
        <f>0.4*1.4</f>
        <v>0.55999999999999994</v>
      </c>
      <c r="I25" s="63">
        <f>0.3*1.4</f>
        <v>0.42</v>
      </c>
      <c r="J25" s="64">
        <f>10.3*1.4</f>
        <v>14.42</v>
      </c>
      <c r="K25"/>
    </row>
    <row r="26" spans="1:11" s="57" customFormat="1" ht="16.5" thickBot="1" x14ac:dyDescent="0.3">
      <c r="A26" s="93" t="s">
        <v>15</v>
      </c>
      <c r="B26" s="94"/>
      <c r="C26" s="94"/>
      <c r="D26" s="94"/>
      <c r="E26" s="95"/>
      <c r="F26" s="3">
        <f>SUM(F23:F25)</f>
        <v>42.29</v>
      </c>
      <c r="G26" s="3">
        <f>SUM(G23:G25)</f>
        <v>317.2</v>
      </c>
      <c r="H26" s="3">
        <f>SUM(H23:H25)</f>
        <v>1.21</v>
      </c>
      <c r="I26" s="3">
        <f>SUM(I23:I25)</f>
        <v>0.44</v>
      </c>
      <c r="J26" s="3">
        <f>SUM(J23:J25)</f>
        <v>76.399999999999991</v>
      </c>
      <c r="K26"/>
    </row>
    <row r="28" spans="1:11" ht="15.75" thickBot="1" x14ac:dyDescent="0.3">
      <c r="A28" s="78" t="s">
        <v>25</v>
      </c>
      <c r="B28" s="78"/>
      <c r="C28" s="78"/>
      <c r="D28" s="78"/>
      <c r="E28" s="78"/>
      <c r="F28" s="78"/>
      <c r="G28" s="78"/>
      <c r="H28" s="78"/>
      <c r="I28" s="78"/>
      <c r="J28" s="78"/>
    </row>
    <row r="29" spans="1:11" ht="15.75" x14ac:dyDescent="0.25">
      <c r="A29" s="23"/>
      <c r="B29" s="23"/>
      <c r="C29" s="77" t="s">
        <v>23</v>
      </c>
      <c r="D29" s="77"/>
      <c r="G29" s="79"/>
      <c r="H29" s="79"/>
      <c r="I29" s="79"/>
      <c r="J29" s="79"/>
    </row>
    <row r="30" spans="1:11" x14ac:dyDescent="0.25">
      <c r="A30" s="1"/>
      <c r="B30" s="1"/>
      <c r="C30" s="1"/>
      <c r="D30" s="1"/>
    </row>
    <row r="31" spans="1:11" x14ac:dyDescent="0.25">
      <c r="A31" s="89" t="s">
        <v>24</v>
      </c>
      <c r="B31" s="89"/>
    </row>
    <row r="32" spans="1:11" x14ac:dyDescent="0.25">
      <c r="A32" s="89" t="s">
        <v>26</v>
      </c>
      <c r="B32" s="89"/>
    </row>
    <row r="33" spans="1:1" x14ac:dyDescent="0.25">
      <c r="A33" s="4"/>
    </row>
  </sheetData>
  <mergeCells count="15">
    <mergeCell ref="A31:B31"/>
    <mergeCell ref="A32:B32"/>
    <mergeCell ref="A3:A8"/>
    <mergeCell ref="A23:A25"/>
    <mergeCell ref="A26:E26"/>
    <mergeCell ref="A16:A21"/>
    <mergeCell ref="B1:C1"/>
    <mergeCell ref="G1:J1"/>
    <mergeCell ref="C29:D29"/>
    <mergeCell ref="A28:J28"/>
    <mergeCell ref="G29:J29"/>
    <mergeCell ref="A9:E9"/>
    <mergeCell ref="A10:A14"/>
    <mergeCell ref="A15:E15"/>
    <mergeCell ref="A22:E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workbookViewId="0">
      <selection activeCell="G29" sqref="G29"/>
    </sheetView>
  </sheetViews>
  <sheetFormatPr defaultRowHeight="15" x14ac:dyDescent="0.25"/>
  <cols>
    <col min="1" max="1" width="27.85546875" style="2" customWidth="1"/>
    <col min="2" max="2" width="24.7109375" style="2" customWidth="1"/>
    <col min="3" max="3" width="12.28515625" style="2" customWidth="1"/>
    <col min="4" max="4" width="47.8554687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99" t="s">
        <v>22</v>
      </c>
      <c r="C1" s="100"/>
      <c r="D1" s="1" t="s">
        <v>1</v>
      </c>
      <c r="E1" s="26"/>
      <c r="F1" s="1" t="s">
        <v>2</v>
      </c>
      <c r="G1" s="74">
        <v>44823</v>
      </c>
      <c r="H1" s="75"/>
      <c r="I1" s="75"/>
      <c r="J1" s="76"/>
      <c r="K1" s="1"/>
      <c r="L1" s="1"/>
    </row>
    <row r="2" spans="1:12" ht="15.75" thickBot="1" x14ac:dyDescent="0.3">
      <c r="A2" s="32" t="s">
        <v>3</v>
      </c>
      <c r="B2" s="40" t="s">
        <v>4</v>
      </c>
      <c r="C2" s="41" t="s">
        <v>5</v>
      </c>
      <c r="D2" s="41" t="s">
        <v>6</v>
      </c>
      <c r="E2" s="41" t="s">
        <v>7</v>
      </c>
      <c r="F2" s="41" t="s">
        <v>8</v>
      </c>
      <c r="G2" s="41" t="s">
        <v>9</v>
      </c>
      <c r="H2" s="41" t="s">
        <v>10</v>
      </c>
      <c r="I2" s="41" t="s">
        <v>11</v>
      </c>
      <c r="J2" s="42" t="s">
        <v>12</v>
      </c>
    </row>
    <row r="3" spans="1:12" s="71" customFormat="1" x14ac:dyDescent="0.25">
      <c r="A3" s="107" t="s">
        <v>71</v>
      </c>
      <c r="B3" s="108" t="s">
        <v>31</v>
      </c>
      <c r="C3" s="69" t="s">
        <v>65</v>
      </c>
      <c r="D3" s="69" t="s">
        <v>66</v>
      </c>
      <c r="E3" s="14">
        <v>15</v>
      </c>
      <c r="F3" s="14">
        <v>15.35</v>
      </c>
      <c r="G3" s="15">
        <f>3.64*15</f>
        <v>54.6</v>
      </c>
      <c r="H3" s="15">
        <f>23.2*0.15</f>
        <v>3.48</v>
      </c>
      <c r="I3" s="15">
        <f>29.5*0.15</f>
        <v>4.4249999999999998</v>
      </c>
      <c r="J3" s="16">
        <f>0</f>
        <v>0</v>
      </c>
    </row>
    <row r="4" spans="1:12" ht="15.75" x14ac:dyDescent="0.25">
      <c r="A4" s="109"/>
      <c r="B4" s="114" t="s">
        <v>31</v>
      </c>
      <c r="C4" s="54" t="s">
        <v>56</v>
      </c>
      <c r="D4" s="54" t="s">
        <v>57</v>
      </c>
      <c r="E4" s="17">
        <v>30</v>
      </c>
      <c r="F4" s="7">
        <v>2.13</v>
      </c>
      <c r="G4" s="7">
        <f>11*0.6</f>
        <v>6.6</v>
      </c>
      <c r="H4" s="7">
        <f>0.55*0.6</f>
        <v>0.33</v>
      </c>
      <c r="I4" s="7">
        <f>0.1*0.6</f>
        <v>0.06</v>
      </c>
      <c r="J4" s="9">
        <f>1.9*0.6</f>
        <v>1.1399999999999999</v>
      </c>
    </row>
    <row r="5" spans="1:12" s="39" customFormat="1" x14ac:dyDescent="0.25">
      <c r="A5" s="109"/>
      <c r="B5" s="8" t="s">
        <v>13</v>
      </c>
      <c r="C5" s="6" t="s">
        <v>69</v>
      </c>
      <c r="D5" s="6" t="s">
        <v>70</v>
      </c>
      <c r="E5" s="17">
        <v>55</v>
      </c>
      <c r="F5" s="7">
        <v>37.14</v>
      </c>
      <c r="G5" s="24">
        <f>261*0.55</f>
        <v>143.55000000000001</v>
      </c>
      <c r="H5" s="24">
        <f>11*0.55</f>
        <v>6.0500000000000007</v>
      </c>
      <c r="I5" s="24">
        <f>23.9*0.55</f>
        <v>13.145</v>
      </c>
      <c r="J5" s="25">
        <f>0.4*0.55</f>
        <v>0.22000000000000003</v>
      </c>
    </row>
    <row r="6" spans="1:12" s="43" customFormat="1" x14ac:dyDescent="0.25">
      <c r="A6" s="109"/>
      <c r="B6" s="8" t="s">
        <v>17</v>
      </c>
      <c r="C6" s="6" t="s">
        <v>54</v>
      </c>
      <c r="D6" s="6" t="s">
        <v>55</v>
      </c>
      <c r="E6" s="17">
        <v>130</v>
      </c>
      <c r="F6" s="7">
        <v>12.65</v>
      </c>
      <c r="G6" s="7">
        <f>1398*0.13</f>
        <v>181.74</v>
      </c>
      <c r="H6" s="7">
        <f>24.34*0.13</f>
        <v>3.1642000000000001</v>
      </c>
      <c r="I6" s="7">
        <f>35.83*0.13</f>
        <v>4.6578999999999997</v>
      </c>
      <c r="J6" s="9">
        <f>244.56*0.13</f>
        <v>31.7928</v>
      </c>
    </row>
    <row r="7" spans="1:12" s="43" customFormat="1" x14ac:dyDescent="0.25">
      <c r="A7" s="109"/>
      <c r="B7" s="8" t="s">
        <v>18</v>
      </c>
      <c r="C7" s="6" t="s">
        <v>46</v>
      </c>
      <c r="D7" s="6" t="s">
        <v>47</v>
      </c>
      <c r="E7" s="17" t="s">
        <v>48</v>
      </c>
      <c r="F7" s="7">
        <v>4.03</v>
      </c>
      <c r="G7" s="7">
        <v>62</v>
      </c>
      <c r="H7" s="24">
        <v>0.13</v>
      </c>
      <c r="I7" s="24">
        <v>0.02</v>
      </c>
      <c r="J7" s="25">
        <v>15.2</v>
      </c>
    </row>
    <row r="8" spans="1:12" x14ac:dyDescent="0.25">
      <c r="A8" s="109"/>
      <c r="B8" s="8" t="s">
        <v>21</v>
      </c>
      <c r="C8" s="54" t="s">
        <v>44</v>
      </c>
      <c r="D8" s="6" t="s">
        <v>45</v>
      </c>
      <c r="E8" s="17">
        <v>50</v>
      </c>
      <c r="F8" s="7">
        <v>4.76</v>
      </c>
      <c r="G8" s="55">
        <v>159</v>
      </c>
      <c r="H8" s="55">
        <v>3.64</v>
      </c>
      <c r="I8" s="55">
        <v>6.26</v>
      </c>
      <c r="J8" s="56">
        <v>21.96</v>
      </c>
    </row>
    <row r="9" spans="1:12" ht="15.75" thickBot="1" x14ac:dyDescent="0.3">
      <c r="A9" s="113"/>
      <c r="B9" s="10" t="s">
        <v>14</v>
      </c>
      <c r="C9" s="11" t="s">
        <v>32</v>
      </c>
      <c r="D9" s="11" t="s">
        <v>33</v>
      </c>
      <c r="E9" s="18">
        <v>21</v>
      </c>
      <c r="F9" s="19">
        <v>0.94</v>
      </c>
      <c r="G9" s="19">
        <f>229.7*0.21</f>
        <v>48.236999999999995</v>
      </c>
      <c r="H9" s="12">
        <f>6.7*0.21</f>
        <v>1.407</v>
      </c>
      <c r="I9" s="12">
        <f>1.1*0.21</f>
        <v>0.23100000000000001</v>
      </c>
      <c r="J9" s="13">
        <f>48.3*0.21</f>
        <v>10.142999999999999</v>
      </c>
    </row>
    <row r="10" spans="1:12" ht="16.5" thickBot="1" x14ac:dyDescent="0.3">
      <c r="A10" s="101" t="s">
        <v>15</v>
      </c>
      <c r="B10" s="87"/>
      <c r="C10" s="87"/>
      <c r="D10" s="87"/>
      <c r="E10" s="102"/>
      <c r="F10" s="20">
        <f>SUM(F3:F9)</f>
        <v>77.000000000000014</v>
      </c>
      <c r="G10" s="20">
        <f t="shared" ref="G10:J10" si="0">SUM(G4:G9)</f>
        <v>601.12699999999995</v>
      </c>
      <c r="H10" s="20">
        <f t="shared" si="0"/>
        <v>14.721200000000001</v>
      </c>
      <c r="I10" s="20">
        <f t="shared" si="0"/>
        <v>24.373899999999999</v>
      </c>
      <c r="J10" s="20">
        <f t="shared" si="0"/>
        <v>80.455800000000011</v>
      </c>
    </row>
    <row r="11" spans="1:12" s="27" customFormat="1" ht="30" x14ac:dyDescent="0.25">
      <c r="A11" s="96" t="s">
        <v>35</v>
      </c>
      <c r="B11" s="108" t="s">
        <v>31</v>
      </c>
      <c r="C11" s="69" t="s">
        <v>73</v>
      </c>
      <c r="D11" s="69" t="s">
        <v>74</v>
      </c>
      <c r="E11" s="14">
        <v>12</v>
      </c>
      <c r="F11" s="15">
        <v>7.1</v>
      </c>
      <c r="G11" s="15">
        <f>736*0.012</f>
        <v>8.8320000000000007</v>
      </c>
      <c r="H11" s="15">
        <f>20.55*0.012</f>
        <v>0.24660000000000001</v>
      </c>
      <c r="I11" s="15">
        <f>29.1*0.012</f>
        <v>0.34920000000000001</v>
      </c>
      <c r="J11" s="16">
        <f>97.89*0.012</f>
        <v>1.1746799999999999</v>
      </c>
      <c r="K11"/>
    </row>
    <row r="12" spans="1:12" s="71" customFormat="1" x14ac:dyDescent="0.25">
      <c r="A12" s="97"/>
      <c r="B12" s="8" t="s">
        <v>17</v>
      </c>
      <c r="C12" s="6" t="s">
        <v>54</v>
      </c>
      <c r="D12" s="6" t="s">
        <v>55</v>
      </c>
      <c r="E12" s="17">
        <v>150</v>
      </c>
      <c r="F12" s="7">
        <v>14.6</v>
      </c>
      <c r="G12" s="7">
        <f>1398*0.15</f>
        <v>209.7</v>
      </c>
      <c r="H12" s="7">
        <f>24.34*0.15</f>
        <v>3.6509999999999998</v>
      </c>
      <c r="I12" s="7">
        <f>35.83*0.15</f>
        <v>5.3744999999999994</v>
      </c>
      <c r="J12" s="9">
        <f>244.56*0.15</f>
        <v>36.683999999999997</v>
      </c>
      <c r="K12"/>
    </row>
    <row r="13" spans="1:12" s="27" customFormat="1" x14ac:dyDescent="0.25">
      <c r="A13" s="97"/>
      <c r="B13" s="8" t="s">
        <v>18</v>
      </c>
      <c r="C13" s="6" t="s">
        <v>46</v>
      </c>
      <c r="D13" s="6" t="s">
        <v>47</v>
      </c>
      <c r="E13" s="17" t="s">
        <v>48</v>
      </c>
      <c r="F13" s="7">
        <v>4.03</v>
      </c>
      <c r="G13" s="7">
        <v>62</v>
      </c>
      <c r="H13" s="24">
        <v>0.13</v>
      </c>
      <c r="I13" s="24">
        <v>0.02</v>
      </c>
      <c r="J13" s="25">
        <v>15.2</v>
      </c>
    </row>
    <row r="14" spans="1:12" s="30" customFormat="1" ht="15.75" thickBot="1" x14ac:dyDescent="0.3">
      <c r="A14" s="98"/>
      <c r="B14" s="10" t="s">
        <v>14</v>
      </c>
      <c r="C14" s="11" t="s">
        <v>32</v>
      </c>
      <c r="D14" s="11" t="s">
        <v>33</v>
      </c>
      <c r="E14" s="18">
        <v>28.5</v>
      </c>
      <c r="F14" s="19">
        <v>1.27</v>
      </c>
      <c r="G14" s="19">
        <f>229.7*0.285</f>
        <v>65.464499999999987</v>
      </c>
      <c r="H14" s="12">
        <f>6.7*0.285</f>
        <v>1.9095</v>
      </c>
      <c r="I14" s="12">
        <f>1.1*0.285</f>
        <v>0.3135</v>
      </c>
      <c r="J14" s="13">
        <f>48.3*0.285</f>
        <v>13.765499999999998</v>
      </c>
    </row>
    <row r="15" spans="1:12" ht="16.5" thickBot="1" x14ac:dyDescent="0.3">
      <c r="A15" s="103" t="s">
        <v>15</v>
      </c>
      <c r="B15" s="87"/>
      <c r="C15" s="87"/>
      <c r="D15" s="87"/>
      <c r="E15" s="102"/>
      <c r="F15" s="20">
        <f>SUM(F11:F14)</f>
        <v>27</v>
      </c>
      <c r="G15" s="20">
        <f>SUM(G11:G14)</f>
        <v>345.99649999999997</v>
      </c>
      <c r="H15" s="20">
        <f>SUM(H11:H14)</f>
        <v>5.9370999999999992</v>
      </c>
      <c r="I15" s="20">
        <f>SUM(I11:I14)</f>
        <v>6.057199999999999</v>
      </c>
      <c r="J15" s="20">
        <f>SUM(J11:J14)</f>
        <v>66.824179999999998</v>
      </c>
    </row>
    <row r="16" spans="1:12" s="29" customFormat="1" ht="32.25" customHeight="1" x14ac:dyDescent="0.25">
      <c r="A16" s="104" t="s">
        <v>36</v>
      </c>
      <c r="B16" s="21" t="s">
        <v>31</v>
      </c>
      <c r="C16" s="22" t="s">
        <v>75</v>
      </c>
      <c r="D16" s="22" t="s">
        <v>76</v>
      </c>
      <c r="E16" s="14" t="s">
        <v>77</v>
      </c>
      <c r="F16" s="15">
        <v>4.5</v>
      </c>
      <c r="G16" s="15">
        <f>250*0.2+229.7*0.36</f>
        <v>132.69200000000001</v>
      </c>
      <c r="H16" s="15">
        <f>0.4*0.2+6.7*0.36</f>
        <v>2.492</v>
      </c>
      <c r="I16" s="15">
        <f>0+1.1*0.36</f>
        <v>0.39600000000000002</v>
      </c>
      <c r="J16" s="16">
        <f>65*0.2+48.3*0.36</f>
        <v>30.387999999999998</v>
      </c>
    </row>
    <row r="17" spans="1:10" s="29" customFormat="1" ht="15.75" thickBot="1" x14ac:dyDescent="0.3">
      <c r="A17" s="105"/>
      <c r="B17" s="10" t="s">
        <v>18</v>
      </c>
      <c r="C17" s="11" t="s">
        <v>19</v>
      </c>
      <c r="D17" s="11" t="s">
        <v>20</v>
      </c>
      <c r="E17" s="18" t="s">
        <v>34</v>
      </c>
      <c r="F17" s="19">
        <v>2.5</v>
      </c>
      <c r="G17" s="19">
        <v>60</v>
      </c>
      <c r="H17" s="19">
        <v>7.0000000000000007E-2</v>
      </c>
      <c r="I17" s="19">
        <v>0.02</v>
      </c>
      <c r="J17" s="31">
        <v>15</v>
      </c>
    </row>
    <row r="18" spans="1:10" ht="16.5" thickBot="1" x14ac:dyDescent="0.3">
      <c r="A18" s="80" t="s">
        <v>15</v>
      </c>
      <c r="B18" s="85"/>
      <c r="C18" s="85"/>
      <c r="D18" s="85"/>
      <c r="E18" s="106"/>
      <c r="F18" s="20">
        <f>SUM(F16:F17)</f>
        <v>7</v>
      </c>
      <c r="G18" s="20">
        <f>SUM(G16:G17)</f>
        <v>192.69200000000001</v>
      </c>
      <c r="H18" s="20">
        <f t="shared" ref="H18:J18" si="1">SUM(H16:H17)</f>
        <v>2.5619999999999998</v>
      </c>
      <c r="I18" s="20">
        <f t="shared" si="1"/>
        <v>0.41600000000000004</v>
      </c>
      <c r="J18" s="20">
        <f t="shared" si="1"/>
        <v>45.387999999999998</v>
      </c>
    </row>
    <row r="19" spans="1:10" ht="30" x14ac:dyDescent="0.25">
      <c r="A19" s="83" t="s">
        <v>38</v>
      </c>
      <c r="B19" s="21" t="s">
        <v>16</v>
      </c>
      <c r="C19" s="22" t="s">
        <v>49</v>
      </c>
      <c r="D19" s="22" t="s">
        <v>63</v>
      </c>
      <c r="E19" s="14" t="s">
        <v>64</v>
      </c>
      <c r="F19" s="15">
        <v>9.75</v>
      </c>
      <c r="G19" s="15">
        <f>359*0.25+162*0.1</f>
        <v>105.95</v>
      </c>
      <c r="H19" s="15">
        <f>7.06*0.25+2.6*0.1</f>
        <v>2.0249999999999999</v>
      </c>
      <c r="I19" s="15">
        <f>19.8*0.25+15*0.1</f>
        <v>6.45</v>
      </c>
      <c r="J19" s="16">
        <f>31.61*0.25+3.6*0.1</f>
        <v>8.2624999999999993</v>
      </c>
    </row>
    <row r="20" spans="1:10" s="68" customFormat="1" x14ac:dyDescent="0.25">
      <c r="A20" s="83"/>
      <c r="B20" s="44" t="s">
        <v>13</v>
      </c>
      <c r="C20" s="45" t="s">
        <v>52</v>
      </c>
      <c r="D20" s="45" t="s">
        <v>53</v>
      </c>
      <c r="E20" s="46">
        <v>40</v>
      </c>
      <c r="F20" s="65">
        <v>19.03</v>
      </c>
      <c r="G20" s="66">
        <f>273/75*40</f>
        <v>145.6</v>
      </c>
      <c r="H20" s="66">
        <f>10.11/75*40</f>
        <v>5.3920000000000003</v>
      </c>
      <c r="I20" s="66">
        <f>20.87/75*40</f>
        <v>11.130666666666666</v>
      </c>
      <c r="J20" s="67">
        <f>10.64/75*40</f>
        <v>5.674666666666667</v>
      </c>
    </row>
    <row r="21" spans="1:10" s="68" customFormat="1" x14ac:dyDescent="0.25">
      <c r="A21" s="83"/>
      <c r="B21" s="8" t="s">
        <v>17</v>
      </c>
      <c r="C21" s="6" t="s">
        <v>60</v>
      </c>
      <c r="D21" s="6" t="s">
        <v>61</v>
      </c>
      <c r="E21" s="17" t="s">
        <v>62</v>
      </c>
      <c r="F21" s="7">
        <v>11.73</v>
      </c>
      <c r="G21" s="24">
        <f>137*1.2</f>
        <v>164.4</v>
      </c>
      <c r="H21" s="24">
        <f>3.82*1.2</f>
        <v>4.5839999999999996</v>
      </c>
      <c r="I21" s="24">
        <f>4.05*1.2</f>
        <v>4.8599999999999994</v>
      </c>
      <c r="J21" s="25">
        <f>21.32*1.2</f>
        <v>25.584</v>
      </c>
    </row>
    <row r="22" spans="1:10" x14ac:dyDescent="0.25">
      <c r="A22" s="83"/>
      <c r="B22" s="8" t="s">
        <v>18</v>
      </c>
      <c r="C22" s="6" t="s">
        <v>19</v>
      </c>
      <c r="D22" s="6" t="s">
        <v>20</v>
      </c>
      <c r="E22" s="17" t="s">
        <v>34</v>
      </c>
      <c r="F22" s="7">
        <v>2.5</v>
      </c>
      <c r="G22" s="7">
        <v>60</v>
      </c>
      <c r="H22" s="7">
        <v>7.0000000000000007E-2</v>
      </c>
      <c r="I22" s="7">
        <v>0.02</v>
      </c>
      <c r="J22" s="9">
        <v>15</v>
      </c>
    </row>
    <row r="23" spans="1:10" s="29" customFormat="1" ht="15.75" thickBot="1" x14ac:dyDescent="0.3">
      <c r="A23" s="83"/>
      <c r="B23" s="10" t="s">
        <v>14</v>
      </c>
      <c r="C23" s="11" t="s">
        <v>32</v>
      </c>
      <c r="D23" s="11" t="s">
        <v>33</v>
      </c>
      <c r="E23" s="18">
        <v>44.6</v>
      </c>
      <c r="F23" s="19">
        <v>1.99</v>
      </c>
      <c r="G23" s="19">
        <f>229.7*0.446</f>
        <v>102.44619999999999</v>
      </c>
      <c r="H23" s="12">
        <f>6.7*0.446</f>
        <v>2.9882</v>
      </c>
      <c r="I23" s="12">
        <f>1.1*0.446</f>
        <v>0.49060000000000004</v>
      </c>
      <c r="J23" s="13">
        <f>48.3*0.446</f>
        <v>21.541799999999999</v>
      </c>
    </row>
    <row r="24" spans="1:10" ht="16.5" thickBot="1" x14ac:dyDescent="0.3">
      <c r="A24" s="80" t="s">
        <v>15</v>
      </c>
      <c r="B24" s="85"/>
      <c r="C24" s="85"/>
      <c r="D24" s="85"/>
      <c r="E24" s="86"/>
      <c r="F24" s="28">
        <f>SUM(F19:F23)</f>
        <v>45.000000000000007</v>
      </c>
      <c r="G24" s="28">
        <f t="shared" ref="G24:J24" si="2">SUM(G19:G23)</f>
        <v>578.39620000000002</v>
      </c>
      <c r="H24" s="28">
        <f t="shared" si="2"/>
        <v>15.059200000000001</v>
      </c>
      <c r="I24" s="28">
        <f t="shared" si="2"/>
        <v>22.951266666666665</v>
      </c>
      <c r="J24" s="28">
        <f t="shared" si="2"/>
        <v>76.062966666666668</v>
      </c>
    </row>
    <row r="25" spans="1:10" s="36" customFormat="1" x14ac:dyDescent="0.25">
      <c r="A25" s="83" t="s">
        <v>72</v>
      </c>
      <c r="B25" s="21" t="s">
        <v>31</v>
      </c>
      <c r="C25" s="22" t="s">
        <v>56</v>
      </c>
      <c r="D25" s="22" t="s">
        <v>59</v>
      </c>
      <c r="E25" s="14">
        <v>30</v>
      </c>
      <c r="F25" s="15">
        <v>5.32</v>
      </c>
      <c r="G25" s="15">
        <f>6*0.6</f>
        <v>3.5999999999999996</v>
      </c>
      <c r="H25" s="15">
        <f>0.35*0.6</f>
        <v>0.21</v>
      </c>
      <c r="I25" s="15">
        <f>0.05*0.6</f>
        <v>0.03</v>
      </c>
      <c r="J25" s="16">
        <f>0.95*0.6</f>
        <v>0.56999999999999995</v>
      </c>
    </row>
    <row r="26" spans="1:10" ht="30" x14ac:dyDescent="0.25">
      <c r="A26" s="83"/>
      <c r="B26" s="8" t="s">
        <v>16</v>
      </c>
      <c r="C26" s="6" t="s">
        <v>49</v>
      </c>
      <c r="D26" s="6" t="s">
        <v>63</v>
      </c>
      <c r="E26" s="17" t="s">
        <v>64</v>
      </c>
      <c r="F26" s="7">
        <v>9.75</v>
      </c>
      <c r="G26" s="7">
        <f>359*0.25+162*0.1</f>
        <v>105.95</v>
      </c>
      <c r="H26" s="7">
        <f>7.06*0.25+2.6*0.1</f>
        <v>2.0249999999999999</v>
      </c>
      <c r="I26" s="7">
        <f>19.8*0.25+15*0.1</f>
        <v>6.45</v>
      </c>
      <c r="J26" s="9">
        <f>31.61*0.25+3.6*0.1</f>
        <v>8.2624999999999993</v>
      </c>
    </row>
    <row r="27" spans="1:10" s="68" customFormat="1" x14ac:dyDescent="0.25">
      <c r="A27" s="83"/>
      <c r="B27" s="8" t="s">
        <v>13</v>
      </c>
      <c r="C27" s="6" t="s">
        <v>52</v>
      </c>
      <c r="D27" s="6" t="s">
        <v>53</v>
      </c>
      <c r="E27" s="17">
        <v>65</v>
      </c>
      <c r="F27" s="7">
        <v>31.04</v>
      </c>
      <c r="G27" s="24">
        <f>273/75*65</f>
        <v>236.6</v>
      </c>
      <c r="H27" s="24">
        <f>10.11/75*65</f>
        <v>8.7620000000000005</v>
      </c>
      <c r="I27" s="24">
        <f>20.87/75*65</f>
        <v>18.087333333333333</v>
      </c>
      <c r="J27" s="25">
        <f>10.64/75*65</f>
        <v>9.2213333333333338</v>
      </c>
    </row>
    <row r="28" spans="1:10" s="71" customFormat="1" x14ac:dyDescent="0.25">
      <c r="A28" s="83"/>
      <c r="B28" s="8" t="s">
        <v>17</v>
      </c>
      <c r="C28" s="6" t="s">
        <v>60</v>
      </c>
      <c r="D28" s="6" t="s">
        <v>61</v>
      </c>
      <c r="E28" s="17" t="s">
        <v>62</v>
      </c>
      <c r="F28" s="7">
        <v>11.73</v>
      </c>
      <c r="G28" s="24">
        <f>137*1.2</f>
        <v>164.4</v>
      </c>
      <c r="H28" s="24">
        <f>3.82*1.2</f>
        <v>4.5839999999999996</v>
      </c>
      <c r="I28" s="24">
        <f>4.05*1.2</f>
        <v>4.8599999999999994</v>
      </c>
      <c r="J28" s="25">
        <f>21.32*1.2</f>
        <v>25.584</v>
      </c>
    </row>
    <row r="29" spans="1:10" s="71" customFormat="1" x14ac:dyDescent="0.25">
      <c r="A29" s="83"/>
      <c r="B29" s="8" t="s">
        <v>78</v>
      </c>
      <c r="C29" s="6" t="s">
        <v>79</v>
      </c>
      <c r="D29" s="6" t="s">
        <v>80</v>
      </c>
      <c r="E29" s="17">
        <v>200</v>
      </c>
      <c r="F29" s="7">
        <v>10.67</v>
      </c>
      <c r="G29" s="7">
        <v>114.6</v>
      </c>
      <c r="H29" s="7">
        <v>0.16</v>
      </c>
      <c r="I29" s="7">
        <v>0.12</v>
      </c>
      <c r="J29" s="9">
        <v>28.08</v>
      </c>
    </row>
    <row r="30" spans="1:10" x14ac:dyDescent="0.25">
      <c r="A30" s="83"/>
      <c r="B30" s="8" t="s">
        <v>41</v>
      </c>
      <c r="C30" s="6" t="s">
        <v>42</v>
      </c>
      <c r="D30" s="6" t="s">
        <v>67</v>
      </c>
      <c r="E30" s="111">
        <v>35</v>
      </c>
      <c r="F30" s="112">
        <v>8.2899999999999991</v>
      </c>
      <c r="G30" s="55">
        <f>350*0.35</f>
        <v>122.49999999999999</v>
      </c>
      <c r="H30" s="55">
        <f>5*0.35</f>
        <v>1.75</v>
      </c>
      <c r="I30" s="55">
        <f>6*0.35</f>
        <v>2.0999999999999996</v>
      </c>
      <c r="J30" s="56">
        <f>69*0.35</f>
        <v>24.15</v>
      </c>
    </row>
    <row r="31" spans="1:10" ht="15.75" thickBot="1" x14ac:dyDescent="0.3">
      <c r="A31" s="83"/>
      <c r="B31" s="10" t="s">
        <v>14</v>
      </c>
      <c r="C31" s="11" t="s">
        <v>32</v>
      </c>
      <c r="D31" s="11" t="s">
        <v>33</v>
      </c>
      <c r="E31" s="18">
        <v>5</v>
      </c>
      <c r="F31" s="19">
        <v>0.2</v>
      </c>
      <c r="G31" s="19">
        <f>229.7*0.05</f>
        <v>11.484999999999999</v>
      </c>
      <c r="H31" s="12">
        <f>6.7*0.05</f>
        <v>0.33500000000000002</v>
      </c>
      <c r="I31" s="12">
        <f>1.1*0.05</f>
        <v>5.5000000000000007E-2</v>
      </c>
      <c r="J31" s="13">
        <f>48.3*0.05</f>
        <v>2.415</v>
      </c>
    </row>
    <row r="32" spans="1:10" ht="16.5" thickBot="1" x14ac:dyDescent="0.3">
      <c r="A32" s="80" t="s">
        <v>15</v>
      </c>
      <c r="B32" s="110"/>
      <c r="C32" s="110"/>
      <c r="D32" s="110"/>
      <c r="E32" s="115"/>
      <c r="F32" s="116">
        <f>SUM(F25:F31)</f>
        <v>77.000000000000014</v>
      </c>
      <c r="G32" s="116">
        <f t="shared" ref="G32:J32" si="3">SUM(G25:G31)</f>
        <v>759.13499999999999</v>
      </c>
      <c r="H32" s="116">
        <f t="shared" si="3"/>
        <v>17.826000000000001</v>
      </c>
      <c r="I32" s="116">
        <f t="shared" si="3"/>
        <v>31.702333333333335</v>
      </c>
      <c r="J32" s="116">
        <f t="shared" si="3"/>
        <v>98.282833333333329</v>
      </c>
    </row>
    <row r="34" spans="1:10" ht="15.75" thickBot="1" x14ac:dyDescent="0.3">
      <c r="A34" s="78" t="s">
        <v>25</v>
      </c>
      <c r="B34" s="78"/>
      <c r="C34" s="78"/>
      <c r="D34" s="78"/>
      <c r="E34" s="78"/>
      <c r="F34" s="78"/>
      <c r="G34" s="78"/>
      <c r="H34" s="78"/>
      <c r="I34" s="78"/>
      <c r="J34" s="78"/>
    </row>
    <row r="35" spans="1:10" ht="15.75" x14ac:dyDescent="0.25">
      <c r="A35" s="23"/>
      <c r="B35" s="23"/>
      <c r="C35" s="77" t="s">
        <v>23</v>
      </c>
      <c r="D35" s="77"/>
      <c r="G35" s="79"/>
      <c r="H35" s="79"/>
      <c r="I35" s="79"/>
      <c r="J35" s="79"/>
    </row>
    <row r="36" spans="1:10" x14ac:dyDescent="0.25">
      <c r="A36" s="1"/>
      <c r="B36" s="1"/>
      <c r="C36" s="1"/>
      <c r="D36" s="1"/>
    </row>
    <row r="37" spans="1:10" x14ac:dyDescent="0.25">
      <c r="A37" s="89" t="s">
        <v>24</v>
      </c>
      <c r="B37" s="89"/>
    </row>
    <row r="38" spans="1:10" x14ac:dyDescent="0.25">
      <c r="A38" s="89" t="s">
        <v>26</v>
      </c>
      <c r="B38" s="89"/>
    </row>
    <row r="39" spans="1:10" x14ac:dyDescent="0.25">
      <c r="A39" s="4"/>
    </row>
  </sheetData>
  <mergeCells count="17">
    <mergeCell ref="A37:B37"/>
    <mergeCell ref="A38:B38"/>
    <mergeCell ref="A11:A14"/>
    <mergeCell ref="A15:E15"/>
    <mergeCell ref="A16:A17"/>
    <mergeCell ref="A18:E18"/>
    <mergeCell ref="A25:A31"/>
    <mergeCell ref="A32:E32"/>
    <mergeCell ref="A34:J34"/>
    <mergeCell ref="C35:D35"/>
    <mergeCell ref="G35:J35"/>
    <mergeCell ref="A24:E24"/>
    <mergeCell ref="B1:C1"/>
    <mergeCell ref="G1:J1"/>
    <mergeCell ref="A10:E10"/>
    <mergeCell ref="A19:A23"/>
    <mergeCell ref="A3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2022-09-16T11:48:52Z</dcterms:modified>
</cp:coreProperties>
</file>