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  <c r="J29" i="2"/>
  <c r="I29" i="2"/>
  <c r="H29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19" i="2"/>
  <c r="I19" i="2"/>
  <c r="H19" i="2"/>
  <c r="G19" i="2"/>
  <c r="J20" i="2"/>
  <c r="I20" i="2"/>
  <c r="H20" i="2"/>
  <c r="G20" i="2"/>
  <c r="J18" i="2"/>
  <c r="I18" i="2"/>
  <c r="H18" i="2"/>
  <c r="G18" i="2"/>
  <c r="J15" i="2"/>
  <c r="I15" i="2"/>
  <c r="H15" i="2"/>
  <c r="G15" i="2"/>
  <c r="J13" i="2" l="1"/>
  <c r="I13" i="2"/>
  <c r="H13" i="2"/>
  <c r="G13" i="2"/>
  <c r="J10" i="2"/>
  <c r="I10" i="2"/>
  <c r="H10" i="2"/>
  <c r="G10" i="2"/>
  <c r="J12" i="2"/>
  <c r="I12" i="2"/>
  <c r="H12" i="2"/>
  <c r="G12" i="2"/>
  <c r="J11" i="2"/>
  <c r="I11" i="2"/>
  <c r="H11" i="2"/>
  <c r="G11" i="2"/>
  <c r="J8" i="2"/>
  <c r="I8" i="2"/>
  <c r="H8" i="2"/>
  <c r="G8" i="2"/>
  <c r="J4" i="2"/>
  <c r="I4" i="2"/>
  <c r="H4" i="2"/>
  <c r="G4" i="2"/>
  <c r="J6" i="2" l="1"/>
  <c r="I6" i="2"/>
  <c r="H6" i="2"/>
  <c r="G6" i="2"/>
  <c r="J5" i="2"/>
  <c r="I5" i="2"/>
  <c r="H5" i="2"/>
  <c r="G5" i="2"/>
  <c r="J3" i="2"/>
  <c r="I3" i="2"/>
  <c r="H3" i="2"/>
  <c r="G3" i="2"/>
  <c r="J26" i="1"/>
  <c r="I26" i="1"/>
  <c r="H26" i="1"/>
  <c r="G26" i="1"/>
  <c r="J22" i="1"/>
  <c r="I22" i="1"/>
  <c r="H22" i="1"/>
  <c r="G22" i="1"/>
  <c r="J18" i="1"/>
  <c r="I18" i="1"/>
  <c r="H18" i="1"/>
  <c r="G18" i="1"/>
  <c r="G23" i="1"/>
  <c r="H23" i="1"/>
  <c r="I23" i="1"/>
  <c r="J23" i="1"/>
  <c r="F23" i="1"/>
  <c r="J16" i="1"/>
  <c r="I16" i="1"/>
  <c r="H16" i="1"/>
  <c r="G16" i="1"/>
  <c r="J21" i="1" l="1"/>
  <c r="I21" i="1"/>
  <c r="H21" i="1"/>
  <c r="J19" i="1"/>
  <c r="I19" i="1"/>
  <c r="H19" i="1"/>
  <c r="G19" i="1"/>
  <c r="J11" i="1"/>
  <c r="I11" i="1"/>
  <c r="H11" i="1"/>
  <c r="G11" i="1"/>
  <c r="J14" i="1"/>
  <c r="I14" i="1"/>
  <c r="H14" i="1"/>
  <c r="G14" i="1"/>
  <c r="J8" i="1"/>
  <c r="I8" i="1"/>
  <c r="H8" i="1"/>
  <c r="G8" i="1"/>
  <c r="J6" i="1"/>
  <c r="I6" i="1"/>
  <c r="H6" i="1" l="1"/>
  <c r="G6" i="1"/>
  <c r="J25" i="1" l="1"/>
  <c r="I25" i="1"/>
  <c r="H25" i="1"/>
  <c r="G25" i="1"/>
  <c r="J17" i="1"/>
  <c r="I17" i="1"/>
  <c r="H17" i="1"/>
  <c r="G17" i="1"/>
  <c r="J10" i="1"/>
  <c r="I10" i="1"/>
  <c r="H10" i="1"/>
  <c r="G10" i="1"/>
  <c r="J3" i="1" l="1"/>
  <c r="I3" i="1"/>
  <c r="H3" i="1"/>
  <c r="G3" i="1"/>
  <c r="J12" i="1"/>
  <c r="I12" i="1"/>
  <c r="H12" i="1"/>
  <c r="G12" i="1"/>
  <c r="J5" i="1"/>
  <c r="I5" i="1"/>
  <c r="H5" i="1"/>
  <c r="G5" i="1"/>
  <c r="J4" i="1"/>
  <c r="I4" i="1"/>
  <c r="H4" i="1"/>
  <c r="G4" i="1"/>
  <c r="G23" i="2" l="1"/>
  <c r="H23" i="2"/>
  <c r="I23" i="2"/>
  <c r="J23" i="2"/>
  <c r="F23" i="2"/>
  <c r="H9" i="2"/>
  <c r="G9" i="2"/>
  <c r="I9" i="2"/>
  <c r="J9" i="2"/>
  <c r="F9" i="2"/>
  <c r="F15" i="1" l="1"/>
  <c r="J15" i="1" l="1"/>
  <c r="I15" i="1"/>
  <c r="H15" i="1"/>
  <c r="G15" i="1"/>
  <c r="F31" i="2" l="1"/>
  <c r="F9" i="1" l="1"/>
  <c r="J9" i="1"/>
  <c r="I9" i="1"/>
  <c r="H9" i="1"/>
  <c r="G9" i="1"/>
  <c r="F27" i="1" l="1"/>
  <c r="J27" i="1"/>
  <c r="I27" i="1"/>
  <c r="H27" i="1"/>
  <c r="G27" i="1"/>
  <c r="G17" i="2" l="1"/>
  <c r="J31" i="2" l="1"/>
  <c r="H31" i="2"/>
  <c r="G31" i="2"/>
  <c r="I31" i="2"/>
  <c r="F17" i="2" l="1"/>
  <c r="H17" i="2"/>
  <c r="F14" i="2"/>
  <c r="G14" i="2" l="1"/>
  <c r="I14" i="2"/>
  <c r="J17" i="2"/>
  <c r="H14" i="2"/>
  <c r="J14" i="2"/>
  <c r="I17" i="2"/>
</calcChain>
</file>

<file path=xl/sharedStrings.xml><?xml version="1.0" encoding="utf-8"?>
<sst xmlns="http://schemas.openxmlformats.org/spreadsheetml/2006/main" count="203" uniqueCount="76">
  <si>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</si>
  <si>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</si>
  <si>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</si>
  <si>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</si>
  <si>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</si>
  <si>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</si>
  <si>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</si>
  <si>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</si>
  <si>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</si>
  <si>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</si>
  <si>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</si>
  <si>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</si>
  <si>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</si>
  <si>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</si>
  <si>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</si>
  <si>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</si>
  <si>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</si>
  <si>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</si>
  <si>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</si>
  <si>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</si>
  <si>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</si>
  <si>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</si>
  <si>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</si>
  <si>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</si>
  <si>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</si>
  <si>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</si>
  <si>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</si>
  <si>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</si>
  <si>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</si>
  <si>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</si>
  <si>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</si>
  <si>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</si>
  <si>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</si>
  <si>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</si>
  <si>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</si>
  <si>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</si>
  <si>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</si>
  <si>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</si>
  <si>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</si>
  <si>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Обед 6-7 кл. 2-я смена</t>
  </si>
  <si>
    <t>Кондитерское изделие</t>
  </si>
  <si>
    <t>ПР</t>
  </si>
  <si>
    <t>Фрукт</t>
  </si>
  <si>
    <t>№338-2015г.</t>
  </si>
  <si>
    <t>№71-2015г.</t>
  </si>
  <si>
    <t>Овощи натуральные свежие (огурцы)</t>
  </si>
  <si>
    <t>Макаронные изделия отварные с маслом</t>
  </si>
  <si>
    <t>120/6</t>
  </si>
  <si>
    <t>№203-2015г.</t>
  </si>
  <si>
    <t>Пюре картофельное</t>
  </si>
  <si>
    <t>№312-2015г.</t>
  </si>
  <si>
    <t>250/10/2</t>
  </si>
  <si>
    <t>ТТК №16</t>
  </si>
  <si>
    <t>Филе минтая запечёное</t>
  </si>
  <si>
    <t>Напиток (сладкое блюдо)</t>
  </si>
  <si>
    <t>№342-2015г.</t>
  </si>
  <si>
    <t>Зефир</t>
  </si>
  <si>
    <t>Фрукт свежий (груша)</t>
  </si>
  <si>
    <t>Булочка домашняя</t>
  </si>
  <si>
    <t>№424-2015г.</t>
  </si>
  <si>
    <t>№96-2015г.</t>
  </si>
  <si>
    <t>Рассольник ленинградский со сметаной и зеленью</t>
  </si>
  <si>
    <t>Пряник сливочный</t>
  </si>
  <si>
    <t>Напиток</t>
  </si>
  <si>
    <t>№389-2015г.</t>
  </si>
  <si>
    <t>Сок фруктовый</t>
  </si>
  <si>
    <t>Компот из свежих яблок</t>
  </si>
  <si>
    <t>ТТК №26</t>
  </si>
  <si>
    <t>Котлета "Нежная" из цыплят и свинины</t>
  </si>
  <si>
    <t>№306-2015г.</t>
  </si>
  <si>
    <t xml:space="preserve">Бобовые отварные (кукуруза сахарная консервированная) </t>
  </si>
  <si>
    <t>№2-2015г.</t>
  </si>
  <si>
    <t>Бутерброд с повидлом</t>
  </si>
  <si>
    <t>ТТК №6</t>
  </si>
  <si>
    <t>Булочка "Рулетик с маком"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</si>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</sst>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2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7" fillId="0" borderId="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2" fontId="3" fillId="0" borderId="16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/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2" fontId="3" fillId="0" borderId="39" xfId="0" applyNumberFormat="1" applyFont="1" applyBorder="1" applyAlignment="1">
      <alignment horizontal="right" vertical="center" wrapText="1"/>
    </xf>
    <xf numFmtId="2" fontId="3" fillId="0" borderId="39" xfId="0" applyNumberFormat="1" applyFont="1" applyBorder="1" applyAlignment="1">
      <alignment vertical="center" wrapText="1"/>
    </xf>
    <xf numFmtId="2" fontId="3" fillId="0" borderId="40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/>
    <xf numFmtId="4" fontId="3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0" xfId="0" applyFont="1"/>
    <xf numFmtId="0" fontId="9" fillId="0" borderId="39" xfId="1" applyFont="1" applyBorder="1" applyAlignment="1">
      <alignment horizontal="left" vertical="center" wrapText="1"/>
    </xf>
    <xf numFmtId="0" fontId="3" fillId="0" borderId="0" xfId="0" applyFont="1"/>
    <xf numFmtId="2" fontId="7" fillId="0" borderId="5" xfId="1" applyNumberFormat="1" applyFont="1" applyBorder="1" applyAlignment="1">
      <alignment horizontal="right" vertical="center" wrapText="1"/>
    </xf>
    <xf numFmtId="2" fontId="7" fillId="0" borderId="39" xfId="1" applyNumberFormat="1" applyFont="1" applyBorder="1" applyAlignment="1">
      <alignment horizontal="righ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0" xfId="0" applyFont="1"/>
    <xf numFmtId="2" fontId="4" fillId="0" borderId="32" xfId="0" applyNumberFormat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2" fontId="7" fillId="0" borderId="13" xfId="1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2" fontId="3" fillId="0" borderId="40" xfId="0" applyNumberFormat="1" applyFont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B16" sqref="B16:J22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8" t="s">
        <v>22</v>
      </c>
      <c r="C1" s="69"/>
      <c r="D1" s="1" t="s">
        <v>1</v>
      </c>
      <c r="E1" s="26"/>
      <c r="F1" s="1" t="s">
        <v>2</v>
      </c>
      <c r="G1" s="70">
        <v>44825</v>
      </c>
      <c r="H1" s="71"/>
      <c r="I1" s="71"/>
      <c r="J1" s="72"/>
      <c r="K1" s="1"/>
      <c r="L1" s="1"/>
    </row>
    <row r="2" spans="1:12" ht="15.75" thickBot="1" x14ac:dyDescent="0.3">
      <c r="A2" s="31" t="s">
        <v>3</v>
      </c>
      <c r="B2" s="5" t="s">
        <v>4</v>
      </c>
      <c r="C2" s="32" t="s">
        <v>5</v>
      </c>
      <c r="D2" s="36" t="s">
        <v>6</v>
      </c>
      <c r="E2" s="36" t="s">
        <v>7</v>
      </c>
      <c r="F2" s="36" t="s">
        <v>8</v>
      </c>
      <c r="G2" s="5" t="s">
        <v>9</v>
      </c>
      <c r="H2" s="5" t="s">
        <v>10</v>
      </c>
      <c r="I2" s="5" t="s">
        <v>11</v>
      </c>
      <c r="J2" s="33" t="s">
        <v>12</v>
      </c>
    </row>
    <row r="3" spans="1:12" ht="15" customHeight="1" x14ac:dyDescent="0.25">
      <c r="A3" s="85" t="s">
        <v>27</v>
      </c>
      <c r="B3" s="21" t="s">
        <v>31</v>
      </c>
      <c r="C3" s="22" t="s">
        <v>44</v>
      </c>
      <c r="D3" s="22" t="s">
        <v>45</v>
      </c>
      <c r="E3" s="14">
        <v>30</v>
      </c>
      <c r="F3" s="15">
        <v>5.32</v>
      </c>
      <c r="G3" s="15">
        <f>6*0.6</f>
        <v>3.5999999999999996</v>
      </c>
      <c r="H3" s="15">
        <f>0.35*0.6</f>
        <v>0.21</v>
      </c>
      <c r="I3" s="15">
        <f>0.05*0.6</f>
        <v>0.03</v>
      </c>
      <c r="J3" s="16">
        <f>0.95*0.6</f>
        <v>0.56999999999999995</v>
      </c>
    </row>
    <row r="4" spans="1:12" s="63" customFormat="1" x14ac:dyDescent="0.25">
      <c r="A4" s="85"/>
      <c r="B4" s="8" t="s">
        <v>13</v>
      </c>
      <c r="C4" s="49" t="s">
        <v>52</v>
      </c>
      <c r="D4" s="49" t="s">
        <v>53</v>
      </c>
      <c r="E4" s="17">
        <v>75</v>
      </c>
      <c r="F4" s="7">
        <v>59.52</v>
      </c>
      <c r="G4" s="50">
        <f>71/50*75</f>
        <v>106.5</v>
      </c>
      <c r="H4" s="50">
        <f>8.8/50*75</f>
        <v>13.200000000000001</v>
      </c>
      <c r="I4" s="50">
        <f>3.1/50*75</f>
        <v>4.6500000000000004</v>
      </c>
      <c r="J4" s="51">
        <f>1.9/50*75</f>
        <v>2.85</v>
      </c>
      <c r="K4"/>
    </row>
    <row r="5" spans="1:12" s="63" customFormat="1" ht="15.75" x14ac:dyDescent="0.25">
      <c r="A5" s="85"/>
      <c r="B5" s="8" t="s">
        <v>17</v>
      </c>
      <c r="C5" s="62" t="s">
        <v>50</v>
      </c>
      <c r="D5" s="65" t="s">
        <v>49</v>
      </c>
      <c r="E5" s="17">
        <v>150</v>
      </c>
      <c r="F5" s="7">
        <v>13.8</v>
      </c>
      <c r="G5" s="60">
        <f>915*0.15</f>
        <v>137.25</v>
      </c>
      <c r="H5" s="60">
        <f>20.43*0.15</f>
        <v>3.0644999999999998</v>
      </c>
      <c r="I5" s="60">
        <f>32.01*0.15</f>
        <v>4.8014999999999999</v>
      </c>
      <c r="J5" s="66">
        <f>136.26*0.15</f>
        <v>20.438999999999997</v>
      </c>
      <c r="K5"/>
    </row>
    <row r="6" spans="1:12" s="42" customFormat="1" ht="15" customHeight="1" x14ac:dyDescent="0.25">
      <c r="A6" s="85"/>
      <c r="B6" s="8" t="s">
        <v>54</v>
      </c>
      <c r="C6" s="6" t="s">
        <v>55</v>
      </c>
      <c r="D6" s="6" t="s">
        <v>66</v>
      </c>
      <c r="E6" s="17">
        <v>200</v>
      </c>
      <c r="F6" s="7">
        <v>9.52</v>
      </c>
      <c r="G6" s="7">
        <f>573*0.2</f>
        <v>114.60000000000001</v>
      </c>
      <c r="H6" s="7">
        <f>0.8*0.2</f>
        <v>0.16000000000000003</v>
      </c>
      <c r="I6" s="7">
        <f>0.8*0.2</f>
        <v>0.16000000000000003</v>
      </c>
      <c r="J6" s="9">
        <f>139.4*0.2</f>
        <v>27.880000000000003</v>
      </c>
    </row>
    <row r="7" spans="1:12" s="42" customFormat="1" ht="15" customHeight="1" x14ac:dyDescent="0.25">
      <c r="A7" s="85"/>
      <c r="B7" s="8" t="s">
        <v>40</v>
      </c>
      <c r="C7" s="6" t="s">
        <v>41</v>
      </c>
      <c r="D7" s="58" t="s">
        <v>62</v>
      </c>
      <c r="E7" s="17">
        <v>35</v>
      </c>
      <c r="F7" s="7">
        <v>8.2899999999999991</v>
      </c>
      <c r="G7" s="25">
        <v>122.5</v>
      </c>
      <c r="H7" s="61">
        <v>1.75</v>
      </c>
      <c r="I7" s="61">
        <v>2.1</v>
      </c>
      <c r="J7" s="61">
        <v>24.15</v>
      </c>
    </row>
    <row r="8" spans="1:12" s="38" customFormat="1" ht="15.75" thickBot="1" x14ac:dyDescent="0.3">
      <c r="A8" s="85"/>
      <c r="B8" s="43" t="s">
        <v>14</v>
      </c>
      <c r="C8" s="44" t="s">
        <v>32</v>
      </c>
      <c r="D8" s="44" t="s">
        <v>33</v>
      </c>
      <c r="E8" s="45">
        <v>16</v>
      </c>
      <c r="F8" s="46">
        <v>0.7</v>
      </c>
      <c r="G8" s="46">
        <f>229.7*0.16</f>
        <v>36.752000000000002</v>
      </c>
      <c r="H8" s="47">
        <f>6.7*0.16</f>
        <v>1.0720000000000001</v>
      </c>
      <c r="I8" s="47">
        <f>1.1*0.16</f>
        <v>0.17600000000000002</v>
      </c>
      <c r="J8" s="48">
        <f>48.3*0.16</f>
        <v>7.7279999999999998</v>
      </c>
    </row>
    <row r="9" spans="1:12" ht="16.5" thickBot="1" x14ac:dyDescent="0.3">
      <c r="A9" s="76" t="s">
        <v>15</v>
      </c>
      <c r="B9" s="77"/>
      <c r="C9" s="77"/>
      <c r="D9" s="77"/>
      <c r="E9" s="78"/>
      <c r="F9" s="64">
        <f>SUM(F3:F8)</f>
        <v>97.149999999999991</v>
      </c>
      <c r="G9" s="64">
        <f>SUM(G3:G8)</f>
        <v>521.202</v>
      </c>
      <c r="H9" s="64">
        <f>SUM(H3:H8)</f>
        <v>19.456500000000002</v>
      </c>
      <c r="I9" s="64">
        <f>SUM(I3:I8)</f>
        <v>11.9175</v>
      </c>
      <c r="J9" s="64">
        <f>SUM(J3:J8)</f>
        <v>83.61699999999999</v>
      </c>
    </row>
    <row r="10" spans="1:12" x14ac:dyDescent="0.25">
      <c r="A10" s="79" t="s">
        <v>28</v>
      </c>
      <c r="B10" s="21" t="s">
        <v>16</v>
      </c>
      <c r="C10" s="22" t="s">
        <v>60</v>
      </c>
      <c r="D10" s="22" t="s">
        <v>61</v>
      </c>
      <c r="E10" s="14" t="s">
        <v>51</v>
      </c>
      <c r="F10" s="15">
        <v>13.25</v>
      </c>
      <c r="G10" s="15">
        <f>429*0.25+162*0.1</f>
        <v>123.45</v>
      </c>
      <c r="H10" s="15">
        <f>8.07*0.25+2.6*0.1</f>
        <v>2.2774999999999999</v>
      </c>
      <c r="I10" s="15">
        <f>20.36*0.25+15*0.1</f>
        <v>6.59</v>
      </c>
      <c r="J10" s="16">
        <f>47.92*0.25+3.6*0.1</f>
        <v>12.34</v>
      </c>
      <c r="K10"/>
    </row>
    <row r="11" spans="1:12" x14ac:dyDescent="0.25">
      <c r="A11" s="79"/>
      <c r="B11" s="8" t="s">
        <v>13</v>
      </c>
      <c r="C11" s="49" t="s">
        <v>67</v>
      </c>
      <c r="D11" s="49" t="s">
        <v>68</v>
      </c>
      <c r="E11" s="17">
        <v>28</v>
      </c>
      <c r="F11" s="7">
        <v>13.65</v>
      </c>
      <c r="G11" s="50">
        <f>155.6/50*28</f>
        <v>87.135999999999996</v>
      </c>
      <c r="H11" s="50">
        <f>7/50*28</f>
        <v>3.9200000000000004</v>
      </c>
      <c r="I11" s="50">
        <f>11.1/50*28</f>
        <v>6.2160000000000002</v>
      </c>
      <c r="J11" s="51">
        <f>7/50*28</f>
        <v>3.9200000000000004</v>
      </c>
      <c r="K11"/>
    </row>
    <row r="12" spans="1:12" s="63" customFormat="1" ht="15" customHeight="1" x14ac:dyDescent="0.25">
      <c r="A12" s="79"/>
      <c r="B12" s="8" t="s">
        <v>17</v>
      </c>
      <c r="C12" s="6" t="s">
        <v>48</v>
      </c>
      <c r="D12" s="58" t="s">
        <v>46</v>
      </c>
      <c r="E12" s="17" t="s">
        <v>47</v>
      </c>
      <c r="F12" s="7">
        <v>12.05</v>
      </c>
      <c r="G12" s="25">
        <f>137*1.2</f>
        <v>164.4</v>
      </c>
      <c r="H12" s="61">
        <f>3.82*1.2</f>
        <v>4.5839999999999996</v>
      </c>
      <c r="I12" s="61">
        <f>4.05*1.2</f>
        <v>4.8599999999999994</v>
      </c>
      <c r="J12" s="61">
        <f>21.32*1.2</f>
        <v>25.584</v>
      </c>
    </row>
    <row r="13" spans="1:12" s="28" customFormat="1" x14ac:dyDescent="0.25">
      <c r="A13" s="79"/>
      <c r="B13" s="8" t="s">
        <v>18</v>
      </c>
      <c r="C13" s="6" t="s">
        <v>19</v>
      </c>
      <c r="D13" s="6" t="s">
        <v>20</v>
      </c>
      <c r="E13" s="17" t="s">
        <v>34</v>
      </c>
      <c r="F13" s="7">
        <v>2.2599999999999998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79"/>
      <c r="B14" s="10" t="s">
        <v>14</v>
      </c>
      <c r="C14" s="11" t="s">
        <v>32</v>
      </c>
      <c r="D14" s="11" t="s">
        <v>33</v>
      </c>
      <c r="E14" s="18">
        <v>24</v>
      </c>
      <c r="F14" s="19">
        <v>1.08</v>
      </c>
      <c r="G14" s="19">
        <f>229.7*0.24</f>
        <v>55.127999999999993</v>
      </c>
      <c r="H14" s="12">
        <f>6.7*0.24</f>
        <v>1.6079999999999999</v>
      </c>
      <c r="I14" s="12">
        <f>1.1*0.24</f>
        <v>0.26400000000000001</v>
      </c>
      <c r="J14" s="13">
        <f>48.3*0.24</f>
        <v>11.591999999999999</v>
      </c>
    </row>
    <row r="15" spans="1:12" ht="16.5" thickBot="1" x14ac:dyDescent="0.3">
      <c r="A15" s="80" t="s">
        <v>15</v>
      </c>
      <c r="B15" s="81"/>
      <c r="C15" s="81"/>
      <c r="D15" s="81"/>
      <c r="E15" s="82"/>
      <c r="F15" s="20">
        <f>SUM(F10:F14)</f>
        <v>42.29</v>
      </c>
      <c r="G15" s="20">
        <f t="shared" ref="G15:J15" si="0">SUM(G10:G14)</f>
        <v>490.11399999999998</v>
      </c>
      <c r="H15" s="20">
        <f t="shared" si="0"/>
        <v>12.4595</v>
      </c>
      <c r="I15" s="20">
        <f t="shared" si="0"/>
        <v>17.95</v>
      </c>
      <c r="J15" s="20">
        <f t="shared" si="0"/>
        <v>68.436000000000007</v>
      </c>
    </row>
    <row r="16" spans="1:12" s="55" customFormat="1" ht="18" customHeight="1" x14ac:dyDescent="0.25">
      <c r="A16" s="91" t="s">
        <v>29</v>
      </c>
      <c r="B16" s="104" t="s">
        <v>31</v>
      </c>
      <c r="C16" s="56" t="s">
        <v>69</v>
      </c>
      <c r="D16" s="56" t="s">
        <v>70</v>
      </c>
      <c r="E16" s="14">
        <v>12</v>
      </c>
      <c r="F16" s="15">
        <v>7.1</v>
      </c>
      <c r="G16" s="15">
        <f>736*0.012</f>
        <v>8.8320000000000007</v>
      </c>
      <c r="H16" s="15">
        <f>20.55*0.012</f>
        <v>0.24660000000000001</v>
      </c>
      <c r="I16" s="15">
        <f>29.1*0.012</f>
        <v>0.34920000000000001</v>
      </c>
      <c r="J16" s="16">
        <f>97.89*0.012</f>
        <v>1.1746799999999999</v>
      </c>
    </row>
    <row r="17" spans="1:11" s="37" customFormat="1" x14ac:dyDescent="0.25">
      <c r="A17" s="92"/>
      <c r="B17" s="8" t="s">
        <v>16</v>
      </c>
      <c r="C17" s="6" t="s">
        <v>60</v>
      </c>
      <c r="D17" s="6" t="s">
        <v>61</v>
      </c>
      <c r="E17" s="17" t="s">
        <v>51</v>
      </c>
      <c r="F17" s="7">
        <v>13.25</v>
      </c>
      <c r="G17" s="7">
        <f>429*0.25+162*0.1</f>
        <v>123.45</v>
      </c>
      <c r="H17" s="7">
        <f>8.07*0.25+2.6*0.1</f>
        <v>2.2774999999999999</v>
      </c>
      <c r="I17" s="7">
        <f>20.36*0.25+15*0.1</f>
        <v>6.59</v>
      </c>
      <c r="J17" s="9">
        <f>47.92*0.25+3.6*0.1</f>
        <v>12.34</v>
      </c>
    </row>
    <row r="18" spans="1:11" s="52" customFormat="1" x14ac:dyDescent="0.25">
      <c r="A18" s="92"/>
      <c r="B18" s="8" t="s">
        <v>13</v>
      </c>
      <c r="C18" s="49" t="s">
        <v>67</v>
      </c>
      <c r="D18" s="49" t="s">
        <v>68</v>
      </c>
      <c r="E18" s="17">
        <v>75</v>
      </c>
      <c r="F18" s="7">
        <v>36.56</v>
      </c>
      <c r="G18" s="50">
        <f>155.6/50*75</f>
        <v>233.4</v>
      </c>
      <c r="H18" s="50">
        <f>7/50*75</f>
        <v>10.500000000000002</v>
      </c>
      <c r="I18" s="50">
        <f>11.1/50*75</f>
        <v>16.649999999999999</v>
      </c>
      <c r="J18" s="51">
        <f>7/50*75</f>
        <v>10.500000000000002</v>
      </c>
      <c r="K18"/>
    </row>
    <row r="19" spans="1:11" s="63" customFormat="1" ht="15.75" x14ac:dyDescent="0.25">
      <c r="A19" s="92"/>
      <c r="B19" s="8" t="s">
        <v>17</v>
      </c>
      <c r="C19" s="6" t="s">
        <v>48</v>
      </c>
      <c r="D19" s="105" t="s">
        <v>46</v>
      </c>
      <c r="E19" s="17" t="s">
        <v>47</v>
      </c>
      <c r="F19" s="7">
        <v>12.05</v>
      </c>
      <c r="G19" s="25">
        <f>137*1.2</f>
        <v>164.4</v>
      </c>
      <c r="H19" s="60">
        <f>3.82*1.2</f>
        <v>4.5839999999999996</v>
      </c>
      <c r="I19" s="60">
        <f>4.05*1.2</f>
        <v>4.8599999999999994</v>
      </c>
      <c r="J19" s="66">
        <f>21.32*1.2</f>
        <v>25.584</v>
      </c>
      <c r="K19"/>
    </row>
    <row r="20" spans="1:11" s="34" customFormat="1" x14ac:dyDescent="0.25">
      <c r="A20" s="92"/>
      <c r="B20" s="8" t="s">
        <v>63</v>
      </c>
      <c r="C20" s="6" t="s">
        <v>64</v>
      </c>
      <c r="D20" s="6" t="s">
        <v>65</v>
      </c>
      <c r="E20" s="17">
        <v>200</v>
      </c>
      <c r="F20" s="7">
        <v>21.71</v>
      </c>
      <c r="G20" s="7">
        <v>104</v>
      </c>
      <c r="H20" s="7">
        <v>0.6</v>
      </c>
      <c r="I20" s="7">
        <v>0.2</v>
      </c>
      <c r="J20" s="9">
        <v>23.6</v>
      </c>
    </row>
    <row r="21" spans="1:11" s="57" customFormat="1" ht="15.75" x14ac:dyDescent="0.25">
      <c r="A21" s="92"/>
      <c r="B21" s="8" t="s">
        <v>21</v>
      </c>
      <c r="C21" s="6" t="s">
        <v>59</v>
      </c>
      <c r="D21" s="67" t="s">
        <v>58</v>
      </c>
      <c r="E21" s="17">
        <v>50</v>
      </c>
      <c r="F21" s="7">
        <v>4.6399999999999997</v>
      </c>
      <c r="G21" s="7">
        <v>159</v>
      </c>
      <c r="H21" s="50">
        <f>7.28*0.5</f>
        <v>3.64</v>
      </c>
      <c r="I21" s="50">
        <f>12.52*0.5</f>
        <v>6.26</v>
      </c>
      <c r="J21" s="51">
        <f>43.92*0.5</f>
        <v>21.96</v>
      </c>
      <c r="K21"/>
    </row>
    <row r="22" spans="1:11" s="34" customFormat="1" ht="15.75" thickBot="1" x14ac:dyDescent="0.3">
      <c r="A22" s="93"/>
      <c r="B22" s="10" t="s">
        <v>14</v>
      </c>
      <c r="C22" s="11" t="s">
        <v>32</v>
      </c>
      <c r="D22" s="11" t="s">
        <v>33</v>
      </c>
      <c r="E22" s="18">
        <v>41</v>
      </c>
      <c r="F22" s="19">
        <v>1.84</v>
      </c>
      <c r="G22" s="19">
        <f>229.7*0.41</f>
        <v>94.176999999999992</v>
      </c>
      <c r="H22" s="12">
        <f>6.7*0.41</f>
        <v>2.7469999999999999</v>
      </c>
      <c r="I22" s="12">
        <f>1.1*0.41</f>
        <v>0.45100000000000001</v>
      </c>
      <c r="J22" s="13">
        <f>48.3*0.41</f>
        <v>19.802999999999997</v>
      </c>
    </row>
    <row r="23" spans="1:11" s="29" customFormat="1" ht="16.5" thickBot="1" x14ac:dyDescent="0.3">
      <c r="A23" s="76" t="s">
        <v>15</v>
      </c>
      <c r="B23" s="81"/>
      <c r="C23" s="81"/>
      <c r="D23" s="81"/>
      <c r="E23" s="83"/>
      <c r="F23" s="20">
        <f>SUM(F16:F22)</f>
        <v>97.15000000000002</v>
      </c>
      <c r="G23" s="20">
        <f t="shared" ref="G23:J23" si="1">SUM(G16:G22)</f>
        <v>887.25900000000001</v>
      </c>
      <c r="H23" s="20">
        <f t="shared" si="1"/>
        <v>24.595100000000002</v>
      </c>
      <c r="I23" s="20">
        <f t="shared" si="1"/>
        <v>35.360199999999999</v>
      </c>
      <c r="J23" s="20">
        <f t="shared" si="1"/>
        <v>114.96168</v>
      </c>
      <c r="K23"/>
    </row>
    <row r="24" spans="1:11" s="52" customFormat="1" x14ac:dyDescent="0.25">
      <c r="A24" s="86" t="s">
        <v>30</v>
      </c>
      <c r="B24" s="21" t="s">
        <v>18</v>
      </c>
      <c r="C24" s="22" t="s">
        <v>19</v>
      </c>
      <c r="D24" s="22" t="s">
        <v>20</v>
      </c>
      <c r="E24" s="14" t="s">
        <v>34</v>
      </c>
      <c r="F24" s="15">
        <v>2.5</v>
      </c>
      <c r="G24" s="15">
        <v>60</v>
      </c>
      <c r="H24" s="15">
        <v>7.0000000000000007E-2</v>
      </c>
      <c r="I24" s="15">
        <v>0.02</v>
      </c>
      <c r="J24" s="16">
        <v>15</v>
      </c>
      <c r="K24"/>
    </row>
    <row r="25" spans="1:11" s="52" customFormat="1" x14ac:dyDescent="0.25">
      <c r="A25" s="87"/>
      <c r="B25" s="8" t="s">
        <v>40</v>
      </c>
      <c r="C25" s="6" t="s">
        <v>41</v>
      </c>
      <c r="D25" s="6" t="s">
        <v>56</v>
      </c>
      <c r="E25" s="17">
        <v>58</v>
      </c>
      <c r="F25" s="7">
        <v>15.02</v>
      </c>
      <c r="G25" s="7">
        <f>330*0.58</f>
        <v>191.39999999999998</v>
      </c>
      <c r="H25" s="7">
        <f>1*0.58</f>
        <v>0.57999999999999996</v>
      </c>
      <c r="I25" s="7">
        <f>0</f>
        <v>0</v>
      </c>
      <c r="J25" s="9">
        <f>81*0.58</f>
        <v>46.98</v>
      </c>
      <c r="K25"/>
    </row>
    <row r="26" spans="1:11" s="52" customFormat="1" ht="15.75" thickBot="1" x14ac:dyDescent="0.3">
      <c r="A26" s="87"/>
      <c r="B26" s="10" t="s">
        <v>42</v>
      </c>
      <c r="C26" s="11" t="s">
        <v>43</v>
      </c>
      <c r="D26" s="11" t="s">
        <v>57</v>
      </c>
      <c r="E26" s="18">
        <v>140</v>
      </c>
      <c r="F26" s="19">
        <v>24.77</v>
      </c>
      <c r="G26" s="53">
        <f>47*1.4</f>
        <v>65.8</v>
      </c>
      <c r="H26" s="53">
        <f>0.4*1.4</f>
        <v>0.55999999999999994</v>
      </c>
      <c r="I26" s="53">
        <f>0.3*1.4</f>
        <v>0.42</v>
      </c>
      <c r="J26" s="54">
        <f>10.3*1.4</f>
        <v>14.42</v>
      </c>
      <c r="K26"/>
    </row>
    <row r="27" spans="1:11" s="52" customFormat="1" ht="16.5" thickBot="1" x14ac:dyDescent="0.3">
      <c r="A27" s="88" t="s">
        <v>15</v>
      </c>
      <c r="B27" s="89"/>
      <c r="C27" s="89"/>
      <c r="D27" s="89"/>
      <c r="E27" s="90"/>
      <c r="F27" s="3">
        <f>SUM(F24:F26)</f>
        <v>42.29</v>
      </c>
      <c r="G27" s="3">
        <f>SUM(G24:G26)</f>
        <v>317.2</v>
      </c>
      <c r="H27" s="3">
        <f>SUM(H24:H26)</f>
        <v>1.21</v>
      </c>
      <c r="I27" s="3">
        <f>SUM(I24:I26)</f>
        <v>0.44</v>
      </c>
      <c r="J27" s="3">
        <f>SUM(J24:J26)</f>
        <v>76.399999999999991</v>
      </c>
      <c r="K27"/>
    </row>
    <row r="29" spans="1:11" ht="15.75" thickBot="1" x14ac:dyDescent="0.3">
      <c r="A29" s="74" t="s">
        <v>25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1" ht="15.75" x14ac:dyDescent="0.25">
      <c r="A30" s="24"/>
      <c r="B30" s="24"/>
      <c r="C30" s="73" t="s">
        <v>23</v>
      </c>
      <c r="D30" s="73"/>
      <c r="G30" s="75"/>
      <c r="H30" s="75"/>
      <c r="I30" s="75"/>
      <c r="J30" s="75"/>
    </row>
    <row r="31" spans="1:11" x14ac:dyDescent="0.25">
      <c r="A31" s="1"/>
      <c r="B31" s="1"/>
      <c r="C31" s="1"/>
      <c r="D31" s="1"/>
    </row>
    <row r="32" spans="1:11" x14ac:dyDescent="0.25">
      <c r="A32" s="84" t="s">
        <v>24</v>
      </c>
      <c r="B32" s="84"/>
    </row>
    <row r="33" spans="1:2" x14ac:dyDescent="0.25">
      <c r="A33" s="84" t="s">
        <v>26</v>
      </c>
      <c r="B33" s="84"/>
    </row>
    <row r="34" spans="1:2" x14ac:dyDescent="0.25">
      <c r="A34" s="4"/>
    </row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K30" sqref="K30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94" t="s">
        <v>22</v>
      </c>
      <c r="C1" s="95"/>
      <c r="D1" s="1" t="s">
        <v>1</v>
      </c>
      <c r="E1" s="26"/>
      <c r="F1" s="1" t="s">
        <v>2</v>
      </c>
      <c r="G1" s="70">
        <v>44825</v>
      </c>
      <c r="H1" s="71"/>
      <c r="I1" s="71"/>
      <c r="J1" s="72"/>
      <c r="K1" s="1"/>
      <c r="L1" s="1"/>
    </row>
    <row r="2" spans="1:12" ht="15.75" thickBot="1" x14ac:dyDescent="0.3">
      <c r="A2" s="31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1" t="s">
        <v>12</v>
      </c>
    </row>
    <row r="3" spans="1:12" x14ac:dyDescent="0.25">
      <c r="A3" s="85" t="s">
        <v>35</v>
      </c>
      <c r="B3" s="21" t="s">
        <v>31</v>
      </c>
      <c r="C3" s="22" t="s">
        <v>44</v>
      </c>
      <c r="D3" s="22" t="s">
        <v>45</v>
      </c>
      <c r="E3" s="14">
        <v>30</v>
      </c>
      <c r="F3" s="15">
        <v>5.32</v>
      </c>
      <c r="G3" s="15">
        <f>6*0.6</f>
        <v>3.5999999999999996</v>
      </c>
      <c r="H3" s="15">
        <f>0.35*0.6</f>
        <v>0.21</v>
      </c>
      <c r="I3" s="15">
        <f>0.05*0.6</f>
        <v>0.03</v>
      </c>
      <c r="J3" s="16">
        <f>0.95*0.6</f>
        <v>0.56999999999999995</v>
      </c>
    </row>
    <row r="4" spans="1:12" s="38" customFormat="1" x14ac:dyDescent="0.25">
      <c r="A4" s="85"/>
      <c r="B4" s="8" t="s">
        <v>13</v>
      </c>
      <c r="C4" s="49" t="s">
        <v>52</v>
      </c>
      <c r="D4" s="49" t="s">
        <v>53</v>
      </c>
      <c r="E4" s="17">
        <v>50</v>
      </c>
      <c r="F4" s="7">
        <v>39.68</v>
      </c>
      <c r="G4" s="50">
        <f>71/50*50</f>
        <v>71</v>
      </c>
      <c r="H4" s="50">
        <f>8.8/50*50</f>
        <v>8.8000000000000007</v>
      </c>
      <c r="I4" s="50">
        <f>3.1/50*50</f>
        <v>3.1</v>
      </c>
      <c r="J4" s="51">
        <f>1.9/50*50</f>
        <v>1.9</v>
      </c>
    </row>
    <row r="5" spans="1:12" s="42" customFormat="1" ht="15.75" x14ac:dyDescent="0.25">
      <c r="A5" s="85"/>
      <c r="B5" s="8" t="s">
        <v>17</v>
      </c>
      <c r="C5" s="62" t="s">
        <v>50</v>
      </c>
      <c r="D5" s="65" t="s">
        <v>49</v>
      </c>
      <c r="E5" s="17">
        <v>150</v>
      </c>
      <c r="F5" s="7">
        <v>13.8</v>
      </c>
      <c r="G5" s="60">
        <f>915*0.15</f>
        <v>137.25</v>
      </c>
      <c r="H5" s="60">
        <f>20.43*0.15</f>
        <v>3.0644999999999998</v>
      </c>
      <c r="I5" s="60">
        <f>32.01*0.15</f>
        <v>4.8014999999999999</v>
      </c>
      <c r="J5" s="66">
        <f>136.26*0.15</f>
        <v>20.438999999999997</v>
      </c>
    </row>
    <row r="6" spans="1:12" x14ac:dyDescent="0.25">
      <c r="A6" s="85"/>
      <c r="B6" s="8" t="s">
        <v>54</v>
      </c>
      <c r="C6" s="6" t="s">
        <v>55</v>
      </c>
      <c r="D6" s="6" t="s">
        <v>66</v>
      </c>
      <c r="E6" s="17">
        <v>200</v>
      </c>
      <c r="F6" s="7">
        <v>9.52</v>
      </c>
      <c r="G6" s="7">
        <f>573*0.2</f>
        <v>114.60000000000001</v>
      </c>
      <c r="H6" s="7">
        <f>0.8*0.2</f>
        <v>0.16000000000000003</v>
      </c>
      <c r="I6" s="7">
        <f>0.8*0.2</f>
        <v>0.16000000000000003</v>
      </c>
      <c r="J6" s="9">
        <f>139.4*0.2</f>
        <v>27.880000000000003</v>
      </c>
    </row>
    <row r="7" spans="1:12" s="63" customFormat="1" x14ac:dyDescent="0.25">
      <c r="A7" s="85"/>
      <c r="B7" s="43" t="s">
        <v>21</v>
      </c>
      <c r="C7" s="44" t="s">
        <v>73</v>
      </c>
      <c r="D7" s="44" t="s">
        <v>74</v>
      </c>
      <c r="E7" s="45">
        <v>50</v>
      </c>
      <c r="F7" s="46">
        <v>7.18</v>
      </c>
      <c r="G7" s="46">
        <v>198.6</v>
      </c>
      <c r="H7" s="46">
        <v>4.0999999999999996</v>
      </c>
      <c r="I7" s="46">
        <v>7.7</v>
      </c>
      <c r="J7" s="106">
        <v>28.2</v>
      </c>
    </row>
    <row r="8" spans="1:12" ht="15.75" thickBot="1" x14ac:dyDescent="0.3">
      <c r="A8" s="85"/>
      <c r="B8" s="10" t="s">
        <v>14</v>
      </c>
      <c r="C8" s="11" t="s">
        <v>32</v>
      </c>
      <c r="D8" s="11" t="s">
        <v>33</v>
      </c>
      <c r="E8" s="18">
        <v>33.5</v>
      </c>
      <c r="F8" s="19">
        <v>1.5</v>
      </c>
      <c r="G8" s="19">
        <f>229.7*0.335</f>
        <v>76.9495</v>
      </c>
      <c r="H8" s="12">
        <f>6.7*0.335</f>
        <v>2.2445000000000004</v>
      </c>
      <c r="I8" s="12">
        <f>1.1*0.335</f>
        <v>0.36850000000000005</v>
      </c>
      <c r="J8" s="13">
        <f>48.3*0.335</f>
        <v>16.180499999999999</v>
      </c>
    </row>
    <row r="9" spans="1:12" ht="16.5" thickBot="1" x14ac:dyDescent="0.3">
      <c r="A9" s="96" t="s">
        <v>15</v>
      </c>
      <c r="B9" s="81"/>
      <c r="C9" s="81"/>
      <c r="D9" s="81"/>
      <c r="E9" s="82"/>
      <c r="F9" s="20">
        <f>SUM(F3:F8)</f>
        <v>77</v>
      </c>
      <c r="G9" s="20">
        <f t="shared" ref="G9:J9" si="0">SUM(G3:G8)</f>
        <v>601.9994999999999</v>
      </c>
      <c r="H9" s="20">
        <f t="shared" si="0"/>
        <v>18.579000000000001</v>
      </c>
      <c r="I9" s="20">
        <f t="shared" si="0"/>
        <v>16.16</v>
      </c>
      <c r="J9" s="20">
        <f t="shared" si="0"/>
        <v>95.169499999999999</v>
      </c>
    </row>
    <row r="10" spans="1:12" s="27" customFormat="1" x14ac:dyDescent="0.25">
      <c r="A10" s="97" t="s">
        <v>36</v>
      </c>
      <c r="B10" s="21" t="s">
        <v>31</v>
      </c>
      <c r="C10" s="22" t="s">
        <v>44</v>
      </c>
      <c r="D10" s="22" t="s">
        <v>45</v>
      </c>
      <c r="E10" s="14">
        <v>10</v>
      </c>
      <c r="F10" s="15">
        <v>1.77</v>
      </c>
      <c r="G10" s="15">
        <f>6*0.2</f>
        <v>1.2000000000000002</v>
      </c>
      <c r="H10" s="15">
        <f>0.35*0.2</f>
        <v>6.9999999999999993E-2</v>
      </c>
      <c r="I10" s="15">
        <f>0.05*0.2</f>
        <v>1.0000000000000002E-2</v>
      </c>
      <c r="J10" s="16">
        <f>0.95*0.2</f>
        <v>0.19</v>
      </c>
      <c r="K10"/>
    </row>
    <row r="11" spans="1:12" s="63" customFormat="1" ht="15.75" x14ac:dyDescent="0.25">
      <c r="A11" s="98"/>
      <c r="B11" s="8" t="s">
        <v>17</v>
      </c>
      <c r="C11" s="62" t="s">
        <v>50</v>
      </c>
      <c r="D11" s="65" t="s">
        <v>49</v>
      </c>
      <c r="E11" s="17">
        <v>150</v>
      </c>
      <c r="F11" s="7">
        <v>13.8</v>
      </c>
      <c r="G11" s="60">
        <f>915*0.15</f>
        <v>137.25</v>
      </c>
      <c r="H11" s="60">
        <f>20.43*0.15</f>
        <v>3.0644999999999998</v>
      </c>
      <c r="I11" s="60">
        <f>32.01*0.15</f>
        <v>4.8014999999999999</v>
      </c>
      <c r="J11" s="66">
        <f>136.26*0.15</f>
        <v>20.438999999999997</v>
      </c>
      <c r="K11"/>
    </row>
    <row r="12" spans="1:12" s="27" customFormat="1" x14ac:dyDescent="0.25">
      <c r="A12" s="98"/>
      <c r="B12" s="8" t="s">
        <v>54</v>
      </c>
      <c r="C12" s="6" t="s">
        <v>55</v>
      </c>
      <c r="D12" s="6" t="s">
        <v>66</v>
      </c>
      <c r="E12" s="17">
        <v>200</v>
      </c>
      <c r="F12" s="7">
        <v>9.52</v>
      </c>
      <c r="G12" s="7">
        <f>573*0.2</f>
        <v>114.60000000000001</v>
      </c>
      <c r="H12" s="7">
        <f>0.8*0.2</f>
        <v>0.16000000000000003</v>
      </c>
      <c r="I12" s="7">
        <f>0.8*0.2</f>
        <v>0.16000000000000003</v>
      </c>
      <c r="J12" s="9">
        <f>139.4*0.2</f>
        <v>27.880000000000003</v>
      </c>
    </row>
    <row r="13" spans="1:12" s="29" customFormat="1" ht="15.75" thickBot="1" x14ac:dyDescent="0.3">
      <c r="A13" s="99"/>
      <c r="B13" s="10" t="s">
        <v>14</v>
      </c>
      <c r="C13" s="11" t="s">
        <v>32</v>
      </c>
      <c r="D13" s="11" t="s">
        <v>33</v>
      </c>
      <c r="E13" s="18">
        <v>43</v>
      </c>
      <c r="F13" s="19">
        <v>1.91</v>
      </c>
      <c r="G13" s="19">
        <f>229.7*0.43</f>
        <v>98.770999999999987</v>
      </c>
      <c r="H13" s="12">
        <f>6.7*0.43</f>
        <v>2.8810000000000002</v>
      </c>
      <c r="I13" s="12">
        <f>1.1*0.43</f>
        <v>0.47300000000000003</v>
      </c>
      <c r="J13" s="13">
        <f>48.3*0.43</f>
        <v>20.768999999999998</v>
      </c>
    </row>
    <row r="14" spans="1:12" ht="16.5" thickBot="1" x14ac:dyDescent="0.3">
      <c r="A14" s="100" t="s">
        <v>15</v>
      </c>
      <c r="B14" s="81"/>
      <c r="C14" s="81"/>
      <c r="D14" s="81"/>
      <c r="E14" s="82"/>
      <c r="F14" s="20">
        <f>SUM(F10:F13)</f>
        <v>27</v>
      </c>
      <c r="G14" s="20">
        <f>SUM(G10:G13)</f>
        <v>351.82100000000003</v>
      </c>
      <c r="H14" s="20">
        <f>SUM(H10:H13)</f>
        <v>6.1754999999999995</v>
      </c>
      <c r="I14" s="20">
        <f>SUM(I10:I13)</f>
        <v>5.4444999999999997</v>
      </c>
      <c r="J14" s="20">
        <f>SUM(J10:J13)</f>
        <v>69.277999999999992</v>
      </c>
    </row>
    <row r="15" spans="1:12" s="28" customFormat="1" x14ac:dyDescent="0.25">
      <c r="A15" s="91" t="s">
        <v>37</v>
      </c>
      <c r="B15" s="21" t="s">
        <v>31</v>
      </c>
      <c r="C15" s="22" t="s">
        <v>71</v>
      </c>
      <c r="D15" s="22" t="s">
        <v>72</v>
      </c>
      <c r="E15" s="14" t="s">
        <v>75</v>
      </c>
      <c r="F15" s="15">
        <v>4.74</v>
      </c>
      <c r="G15" s="15">
        <f>250*0.15+229.7*0.2</f>
        <v>83.44</v>
      </c>
      <c r="H15" s="15">
        <f>0.4*0.15+6.7*0.2</f>
        <v>1.4000000000000001</v>
      </c>
      <c r="I15" s="15">
        <f>0+1.1*0.2</f>
        <v>0.22000000000000003</v>
      </c>
      <c r="J15" s="16">
        <f>65*0.15+48.3*0.2</f>
        <v>19.41</v>
      </c>
    </row>
    <row r="16" spans="1:12" s="28" customFormat="1" ht="15.75" thickBot="1" x14ac:dyDescent="0.3">
      <c r="A16" s="93"/>
      <c r="B16" s="10" t="s">
        <v>18</v>
      </c>
      <c r="C16" s="11" t="s">
        <v>19</v>
      </c>
      <c r="D16" s="11" t="s">
        <v>20</v>
      </c>
      <c r="E16" s="18" t="s">
        <v>34</v>
      </c>
      <c r="F16" s="19">
        <v>2.2599999999999998</v>
      </c>
      <c r="G16" s="19">
        <v>60</v>
      </c>
      <c r="H16" s="19">
        <v>7.0000000000000007E-2</v>
      </c>
      <c r="I16" s="19">
        <v>0.02</v>
      </c>
      <c r="J16" s="30">
        <v>15</v>
      </c>
    </row>
    <row r="17" spans="1:10" ht="16.5" thickBot="1" x14ac:dyDescent="0.3">
      <c r="A17" s="76" t="s">
        <v>15</v>
      </c>
      <c r="B17" s="77"/>
      <c r="C17" s="77"/>
      <c r="D17" s="77"/>
      <c r="E17" s="78"/>
      <c r="F17" s="20">
        <f>SUM(F15:F16)</f>
        <v>7</v>
      </c>
      <c r="G17" s="20">
        <f>SUM(G15:G16)</f>
        <v>143.44</v>
      </c>
      <c r="H17" s="20">
        <f t="shared" ref="H17:J17" si="1">SUM(H15:H16)</f>
        <v>1.4700000000000002</v>
      </c>
      <c r="I17" s="20">
        <f t="shared" si="1"/>
        <v>0.24000000000000002</v>
      </c>
      <c r="J17" s="20">
        <f t="shared" si="1"/>
        <v>34.409999999999997</v>
      </c>
    </row>
    <row r="18" spans="1:10" x14ac:dyDescent="0.25">
      <c r="A18" s="79" t="s">
        <v>38</v>
      </c>
      <c r="B18" s="21" t="s">
        <v>16</v>
      </c>
      <c r="C18" s="22" t="s">
        <v>60</v>
      </c>
      <c r="D18" s="22" t="s">
        <v>61</v>
      </c>
      <c r="E18" s="14" t="s">
        <v>51</v>
      </c>
      <c r="F18" s="15">
        <v>13.25</v>
      </c>
      <c r="G18" s="15">
        <f>429*0.25+162*0.1</f>
        <v>123.45</v>
      </c>
      <c r="H18" s="15">
        <f>8.07*0.25+2.6*0.1</f>
        <v>2.2774999999999999</v>
      </c>
      <c r="I18" s="15">
        <f>20.36*0.25+15*0.1</f>
        <v>6.59</v>
      </c>
      <c r="J18" s="16">
        <f>47.92*0.25+3.6*0.1</f>
        <v>12.34</v>
      </c>
    </row>
    <row r="19" spans="1:10" s="59" customFormat="1" x14ac:dyDescent="0.25">
      <c r="A19" s="79"/>
      <c r="B19" s="8" t="s">
        <v>13</v>
      </c>
      <c r="C19" s="49" t="s">
        <v>67</v>
      </c>
      <c r="D19" s="49" t="s">
        <v>68</v>
      </c>
      <c r="E19" s="17">
        <v>35</v>
      </c>
      <c r="F19" s="7">
        <v>17.059999999999999</v>
      </c>
      <c r="G19" s="50">
        <f>155.6/50*35</f>
        <v>108.92</v>
      </c>
      <c r="H19" s="50">
        <f>7/50*35</f>
        <v>4.9000000000000004</v>
      </c>
      <c r="I19" s="50">
        <f>11.1/50*35</f>
        <v>7.7700000000000005</v>
      </c>
      <c r="J19" s="51">
        <f>7/50*35</f>
        <v>4.9000000000000004</v>
      </c>
    </row>
    <row r="20" spans="1:10" s="55" customFormat="1" ht="15.75" x14ac:dyDescent="0.25">
      <c r="A20" s="79"/>
      <c r="B20" s="8" t="s">
        <v>17</v>
      </c>
      <c r="C20" s="6" t="s">
        <v>48</v>
      </c>
      <c r="D20" s="58" t="s">
        <v>46</v>
      </c>
      <c r="E20" s="17" t="s">
        <v>47</v>
      </c>
      <c r="F20" s="7">
        <v>12.05</v>
      </c>
      <c r="G20" s="25">
        <f>137*1.2</f>
        <v>164.4</v>
      </c>
      <c r="H20" s="61">
        <f>3.82*1.2</f>
        <v>4.5839999999999996</v>
      </c>
      <c r="I20" s="61">
        <f>4.05*1.2</f>
        <v>4.8599999999999994</v>
      </c>
      <c r="J20" s="61">
        <f>21.32*1.2</f>
        <v>25.584</v>
      </c>
    </row>
    <row r="21" spans="1:10" s="55" customFormat="1" x14ac:dyDescent="0.25">
      <c r="A21" s="79"/>
      <c r="B21" s="8" t="s">
        <v>18</v>
      </c>
      <c r="C21" s="6" t="s">
        <v>19</v>
      </c>
      <c r="D21" s="6" t="s">
        <v>20</v>
      </c>
      <c r="E21" s="17" t="s">
        <v>34</v>
      </c>
      <c r="F21" s="7">
        <v>2.2599999999999998</v>
      </c>
      <c r="G21" s="7">
        <v>60</v>
      </c>
      <c r="H21" s="7">
        <v>7.0000000000000007E-2</v>
      </c>
      <c r="I21" s="7">
        <v>0.02</v>
      </c>
      <c r="J21" s="9">
        <v>15</v>
      </c>
    </row>
    <row r="22" spans="1:10" ht="15.75" thickBot="1" x14ac:dyDescent="0.3">
      <c r="A22" s="79"/>
      <c r="B22" s="10" t="s">
        <v>14</v>
      </c>
      <c r="C22" s="11" t="s">
        <v>32</v>
      </c>
      <c r="D22" s="11" t="s">
        <v>33</v>
      </c>
      <c r="E22" s="18">
        <v>8.5</v>
      </c>
      <c r="F22" s="19">
        <v>0.38</v>
      </c>
      <c r="G22" s="19">
        <f>229.7*0.085</f>
        <v>19.5245</v>
      </c>
      <c r="H22" s="12">
        <f>6.7*0.085</f>
        <v>0.56950000000000001</v>
      </c>
      <c r="I22" s="12">
        <f>1.1*0.085</f>
        <v>9.3500000000000014E-2</v>
      </c>
      <c r="J22" s="13">
        <f>48.3*0.085</f>
        <v>4.1055000000000001</v>
      </c>
    </row>
    <row r="23" spans="1:10" ht="16.5" thickBot="1" x14ac:dyDescent="0.3">
      <c r="A23" s="76" t="s">
        <v>15</v>
      </c>
      <c r="B23" s="102"/>
      <c r="C23" s="102"/>
      <c r="D23" s="102"/>
      <c r="E23" s="103"/>
      <c r="F23" s="23">
        <f>SUM(F18:F22)</f>
        <v>45</v>
      </c>
      <c r="G23" s="23">
        <f>SUM(G18:G22)</f>
        <v>476.29449999999997</v>
      </c>
      <c r="H23" s="23">
        <f>SUM(H18:H22)</f>
        <v>12.401</v>
      </c>
      <c r="I23" s="23">
        <f>SUM(I18:I22)</f>
        <v>19.333499999999997</v>
      </c>
      <c r="J23" s="23">
        <f>SUM(J18:J22)</f>
        <v>61.929499999999997</v>
      </c>
    </row>
    <row r="24" spans="1:10" s="35" customFormat="1" ht="30" x14ac:dyDescent="0.25">
      <c r="A24" s="101" t="s">
        <v>39</v>
      </c>
      <c r="B24" s="104" t="s">
        <v>31</v>
      </c>
      <c r="C24" s="56" t="s">
        <v>69</v>
      </c>
      <c r="D24" s="56" t="s">
        <v>70</v>
      </c>
      <c r="E24" s="14">
        <v>12</v>
      </c>
      <c r="F24" s="15">
        <v>7.1</v>
      </c>
      <c r="G24" s="15">
        <f>736*0.012</f>
        <v>8.8320000000000007</v>
      </c>
      <c r="H24" s="15">
        <f>20.55*0.012</f>
        <v>0.24660000000000001</v>
      </c>
      <c r="I24" s="15">
        <f>29.1*0.012</f>
        <v>0.34920000000000001</v>
      </c>
      <c r="J24" s="16">
        <f>97.89*0.012</f>
        <v>1.1746799999999999</v>
      </c>
    </row>
    <row r="25" spans="1:10" x14ac:dyDescent="0.25">
      <c r="A25" s="101"/>
      <c r="B25" s="8" t="s">
        <v>16</v>
      </c>
      <c r="C25" s="6" t="s">
        <v>60</v>
      </c>
      <c r="D25" s="6" t="s">
        <v>61</v>
      </c>
      <c r="E25" s="17" t="s">
        <v>51</v>
      </c>
      <c r="F25" s="7">
        <v>13.25</v>
      </c>
      <c r="G25" s="7">
        <f>429*0.25+162*0.1</f>
        <v>123.45</v>
      </c>
      <c r="H25" s="7">
        <f>8.07*0.25+2.6*0.1</f>
        <v>2.2774999999999999</v>
      </c>
      <c r="I25" s="7">
        <f>20.36*0.25+15*0.1</f>
        <v>6.59</v>
      </c>
      <c r="J25" s="9">
        <f>47.92*0.25+3.6*0.1</f>
        <v>12.34</v>
      </c>
    </row>
    <row r="26" spans="1:10" s="63" customFormat="1" x14ac:dyDescent="0.25">
      <c r="A26" s="101"/>
      <c r="B26" s="8" t="s">
        <v>13</v>
      </c>
      <c r="C26" s="49" t="s">
        <v>67</v>
      </c>
      <c r="D26" s="49" t="s">
        <v>68</v>
      </c>
      <c r="E26" s="17">
        <v>75</v>
      </c>
      <c r="F26" s="7">
        <v>36.56</v>
      </c>
      <c r="G26" s="50">
        <f>155.6/50*75</f>
        <v>233.4</v>
      </c>
      <c r="H26" s="50">
        <f>7/50*75</f>
        <v>10.500000000000002</v>
      </c>
      <c r="I26" s="50">
        <f>11.1/50*75</f>
        <v>16.649999999999999</v>
      </c>
      <c r="J26" s="51">
        <f>7/50*75</f>
        <v>10.500000000000002</v>
      </c>
    </row>
    <row r="27" spans="1:10" s="63" customFormat="1" ht="15.75" x14ac:dyDescent="0.25">
      <c r="A27" s="101"/>
      <c r="B27" s="8" t="s">
        <v>17</v>
      </c>
      <c r="C27" s="6" t="s">
        <v>48</v>
      </c>
      <c r="D27" s="105" t="s">
        <v>46</v>
      </c>
      <c r="E27" s="17" t="s">
        <v>47</v>
      </c>
      <c r="F27" s="7">
        <v>12.05</v>
      </c>
      <c r="G27" s="25">
        <f>137*1.2</f>
        <v>164.4</v>
      </c>
      <c r="H27" s="60">
        <f>3.82*1.2</f>
        <v>4.5839999999999996</v>
      </c>
      <c r="I27" s="60">
        <f>4.05*1.2</f>
        <v>4.8599999999999994</v>
      </c>
      <c r="J27" s="66">
        <f>21.32*1.2</f>
        <v>25.584</v>
      </c>
    </row>
    <row r="28" spans="1:10" s="55" customFormat="1" x14ac:dyDescent="0.25">
      <c r="A28" s="101"/>
      <c r="B28" s="8" t="s">
        <v>18</v>
      </c>
      <c r="C28" s="6" t="s">
        <v>19</v>
      </c>
      <c r="D28" s="6" t="s">
        <v>20</v>
      </c>
      <c r="E28" s="17" t="s">
        <v>34</v>
      </c>
      <c r="F28" s="7">
        <v>2.2599999999999998</v>
      </c>
      <c r="G28" s="7">
        <v>60</v>
      </c>
      <c r="H28" s="7">
        <v>7.0000000000000007E-2</v>
      </c>
      <c r="I28" s="7">
        <v>0.02</v>
      </c>
      <c r="J28" s="9">
        <v>15</v>
      </c>
    </row>
    <row r="29" spans="1:10" ht="15.75" x14ac:dyDescent="0.25">
      <c r="A29" s="101"/>
      <c r="B29" s="8" t="s">
        <v>21</v>
      </c>
      <c r="C29" s="6" t="s">
        <v>59</v>
      </c>
      <c r="D29" s="67" t="s">
        <v>58</v>
      </c>
      <c r="E29" s="17">
        <v>50</v>
      </c>
      <c r="F29" s="7">
        <v>4.6399999999999997</v>
      </c>
      <c r="G29" s="7">
        <v>159</v>
      </c>
      <c r="H29" s="50">
        <f>7.28*0.5</f>
        <v>3.64</v>
      </c>
      <c r="I29" s="50">
        <f>12.52*0.5</f>
        <v>6.26</v>
      </c>
      <c r="J29" s="51">
        <f>43.92*0.5</f>
        <v>21.96</v>
      </c>
    </row>
    <row r="30" spans="1:10" ht="15.75" thickBot="1" x14ac:dyDescent="0.3">
      <c r="A30" s="101"/>
      <c r="B30" s="10" t="s">
        <v>14</v>
      </c>
      <c r="C30" s="11" t="s">
        <v>32</v>
      </c>
      <c r="D30" s="11" t="s">
        <v>33</v>
      </c>
      <c r="E30" s="18">
        <v>25.5</v>
      </c>
      <c r="F30" s="19">
        <v>1.1399999999999999</v>
      </c>
      <c r="G30" s="19">
        <f>229.7*0.255</f>
        <v>58.573499999999996</v>
      </c>
      <c r="H30" s="12">
        <f>6.7*0.255</f>
        <v>1.7085000000000001</v>
      </c>
      <c r="I30" s="12">
        <f>1.1*0.255</f>
        <v>0.28050000000000003</v>
      </c>
      <c r="J30" s="13">
        <f>48.3*0.255</f>
        <v>12.3165</v>
      </c>
    </row>
    <row r="31" spans="1:10" ht="16.5" thickBot="1" x14ac:dyDescent="0.3">
      <c r="A31" s="76" t="s">
        <v>15</v>
      </c>
      <c r="B31" s="102"/>
      <c r="C31" s="102"/>
      <c r="D31" s="102"/>
      <c r="E31" s="103"/>
      <c r="F31" s="23">
        <f>SUM(F24:F30)</f>
        <v>77.000000000000014</v>
      </c>
      <c r="G31" s="23">
        <f>SUM(G24:G30)</f>
        <v>807.65549999999996</v>
      </c>
      <c r="H31" s="23">
        <f>SUM(H24:H30)</f>
        <v>23.026600000000002</v>
      </c>
      <c r="I31" s="23">
        <f>SUM(I24:I30)</f>
        <v>35.009700000000002</v>
      </c>
      <c r="J31" s="23">
        <f>SUM(J24:J30)</f>
        <v>98.875180000000015</v>
      </c>
    </row>
    <row r="33" spans="1:10" ht="15.75" thickBot="1" x14ac:dyDescent="0.3">
      <c r="A33" s="74" t="s">
        <v>25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5.75" x14ac:dyDescent="0.25">
      <c r="A34" s="24"/>
      <c r="B34" s="24"/>
      <c r="C34" s="73" t="s">
        <v>23</v>
      </c>
      <c r="D34" s="73"/>
      <c r="G34" s="75"/>
      <c r="H34" s="75"/>
      <c r="I34" s="75"/>
      <c r="J34" s="75"/>
    </row>
    <row r="35" spans="1:10" x14ac:dyDescent="0.25">
      <c r="A35" s="1"/>
      <c r="B35" s="1"/>
      <c r="C35" s="1"/>
      <c r="D35" s="1"/>
    </row>
    <row r="36" spans="1:10" x14ac:dyDescent="0.25">
      <c r="A36" s="84" t="s">
        <v>24</v>
      </c>
      <c r="B36" s="84"/>
    </row>
    <row r="37" spans="1:10" x14ac:dyDescent="0.25">
      <c r="A37" s="84" t="s">
        <v>26</v>
      </c>
      <c r="B37" s="84"/>
    </row>
    <row r="38" spans="1:10" x14ac:dyDescent="0.25">
      <c r="A38" s="4"/>
    </row>
  </sheetData>
  <mergeCells count="17">
    <mergeCell ref="A36:B36"/>
    <mergeCell ref="A37:B37"/>
    <mergeCell ref="A10:A13"/>
    <mergeCell ref="A14:E14"/>
    <mergeCell ref="A15:A16"/>
    <mergeCell ref="A17:E17"/>
    <mergeCell ref="A24:A30"/>
    <mergeCell ref="A31:E31"/>
    <mergeCell ref="A33:J33"/>
    <mergeCell ref="C34:D34"/>
    <mergeCell ref="G34:J34"/>
    <mergeCell ref="A23:E23"/>
    <mergeCell ref="B1:C1"/>
    <mergeCell ref="G1:J1"/>
    <mergeCell ref="A3:A8"/>
    <mergeCell ref="A9:E9"/>
    <mergeCell ref="A18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2022-09-20T10:55:19Z</dcterms:modified>
</cp:coreProperties>
</file>