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  <c r="J28" i="2"/>
  <c r="I28" i="2"/>
  <c r="H28" i="2"/>
  <c r="G28" i="2"/>
  <c r="J26" i="2"/>
  <c r="I26" i="2"/>
  <c r="H26" i="2"/>
  <c r="G26" i="2"/>
  <c r="J27" i="2"/>
  <c r="I27" i="2"/>
  <c r="H27" i="2"/>
  <c r="G27" i="2"/>
  <c r="J25" i="2"/>
  <c r="I25" i="2"/>
  <c r="H25" i="2"/>
  <c r="G25" i="2"/>
  <c r="J23" i="2"/>
  <c r="I23" i="2"/>
  <c r="H23" i="2"/>
  <c r="G23" i="2"/>
  <c r="J21" i="2"/>
  <c r="I21" i="2"/>
  <c r="H21" i="2"/>
  <c r="G21" i="2"/>
  <c r="J20" i="2"/>
  <c r="I20" i="2"/>
  <c r="H20" i="2"/>
  <c r="G20" i="2"/>
  <c r="J17" i="2"/>
  <c r="I17" i="2"/>
  <c r="H17" i="2"/>
  <c r="G17" i="2"/>
  <c r="J14" i="2" l="1"/>
  <c r="I14" i="2"/>
  <c r="H14" i="2"/>
  <c r="G14" i="2"/>
  <c r="J12" i="2"/>
  <c r="I12" i="2"/>
  <c r="H12" i="2"/>
  <c r="G12" i="2"/>
  <c r="J11" i="2"/>
  <c r="I11" i="2"/>
  <c r="H11" i="2"/>
  <c r="G11" i="2"/>
  <c r="G3" i="2"/>
  <c r="J9" i="2"/>
  <c r="I9" i="2"/>
  <c r="H9" i="2"/>
  <c r="G9" i="2"/>
  <c r="J6" i="2"/>
  <c r="I6" i="2"/>
  <c r="H6" i="2"/>
  <c r="G6" i="2"/>
  <c r="J4" i="2"/>
  <c r="I4" i="2"/>
  <c r="H4" i="2"/>
  <c r="G4" i="2"/>
  <c r="J3" i="2"/>
  <c r="I3" i="2"/>
  <c r="H3" i="2"/>
  <c r="J5" i="2" l="1"/>
  <c r="I5" i="2"/>
  <c r="H5" i="2"/>
  <c r="G5" i="2"/>
  <c r="J25" i="1"/>
  <c r="I25" i="1"/>
  <c r="H25" i="1"/>
  <c r="G25" i="1"/>
  <c r="J24" i="1"/>
  <c r="I24" i="1"/>
  <c r="H24" i="1"/>
  <c r="G24" i="1"/>
  <c r="J21" i="1"/>
  <c r="I21" i="1"/>
  <c r="H21" i="1"/>
  <c r="G21" i="1"/>
  <c r="J19" i="1"/>
  <c r="I19" i="1"/>
  <c r="H19" i="1"/>
  <c r="G19" i="1"/>
  <c r="J14" i="1"/>
  <c r="I14" i="1"/>
  <c r="H14" i="1"/>
  <c r="G14" i="1"/>
  <c r="J11" i="1"/>
  <c r="I11" i="1"/>
  <c r="H11" i="1"/>
  <c r="G11" i="1"/>
  <c r="H6" i="1"/>
  <c r="G6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  <c r="J3" i="1"/>
  <c r="I3" i="1"/>
  <c r="H3" i="1"/>
  <c r="G3" i="1"/>
  <c r="F9" i="1"/>
  <c r="J6" i="1" l="1"/>
  <c r="I6" i="1"/>
  <c r="J19" i="2" l="1"/>
  <c r="I19" i="2"/>
  <c r="H19" i="2"/>
  <c r="G19" i="2"/>
  <c r="J17" i="1" l="1"/>
  <c r="I17" i="1"/>
  <c r="H17" i="1"/>
  <c r="G17" i="1"/>
  <c r="J18" i="1" l="1"/>
  <c r="I18" i="1"/>
  <c r="H18" i="1"/>
  <c r="G18" i="1"/>
  <c r="J10" i="1"/>
  <c r="I10" i="1"/>
  <c r="H10" i="1"/>
  <c r="G10" i="1"/>
  <c r="G18" i="2" l="1"/>
  <c r="F10" i="2"/>
  <c r="G10" i="2" l="1"/>
  <c r="J16" i="1" l="1"/>
  <c r="I16" i="1"/>
  <c r="H16" i="1"/>
  <c r="G16" i="1"/>
  <c r="F22" i="1" l="1"/>
  <c r="J22" i="1" l="1"/>
  <c r="I22" i="1"/>
  <c r="H22" i="1"/>
  <c r="G22" i="1"/>
  <c r="F15" i="1" l="1"/>
  <c r="J31" i="2" l="1"/>
  <c r="H31" i="2"/>
  <c r="F31" i="2"/>
  <c r="G31" i="2"/>
  <c r="I31" i="2"/>
  <c r="G26" i="1" l="1"/>
  <c r="H26" i="1"/>
  <c r="I26" i="1"/>
  <c r="J26" i="1"/>
  <c r="F26" i="1"/>
  <c r="J15" i="1" l="1"/>
  <c r="H15" i="1"/>
  <c r="G15" i="1"/>
  <c r="I15" i="1" l="1"/>
  <c r="G9" i="1"/>
  <c r="H9" i="1"/>
  <c r="I9" i="1"/>
  <c r="J9" i="1"/>
  <c r="F18" i="2" l="1"/>
  <c r="H18" i="2"/>
  <c r="F15" i="2"/>
  <c r="J10" i="2"/>
  <c r="H10" i="2"/>
  <c r="I10" i="2"/>
  <c r="G15" i="2" l="1"/>
  <c r="I15" i="2"/>
  <c r="J18" i="2"/>
  <c r="H15" i="2"/>
  <c r="J15" i="2"/>
  <c r="I18" i="2"/>
  <c r="F24" i="2" l="1"/>
  <c r="J24" i="2" l="1"/>
  <c r="I24" i="2"/>
  <c r="H24" i="2"/>
  <c r="G24" i="2"/>
</calcChain>
</file>

<file path=xl/sharedStrings.xml><?xml version="1.0" encoding="utf-8"?>
<sst xmlns="http://schemas.openxmlformats.org/spreadsheetml/2006/main" count="200" uniqueCount="74">
  <si>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</si>
  <si>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</si>
  <si>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</si>
  <si>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</si>
  <si>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</si>
  <si>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</si>
  <si>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</si>
  <si>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</si>
  <si>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</si>
  <si>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</si>
  <si>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</si>
  <si>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</si>
  <si>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</si>
  <si>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</si>
  <si>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</si>
  <si>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</si>
  <si>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</si>
  <si>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</si>
  <si>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</si>
  <si>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</si>
  <si>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</si>
  <si>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</si>
  <si>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</si>
  <si>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</si>
  <si>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</si>
  <si>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</si>
  <si>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</si>
  <si>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</si>
  <si>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</si>
  <si>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</si>
  <si>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</si>
  <si>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</si>
  <si>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</si>
  <si>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</si>
  <si>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</si>
  <si>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</si>
  <si>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</si>
  <si>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</si>
  <si>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</si>
  <si>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</si>
  <si>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</si>
  <si>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</si>
  <si>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№302-2015г.</t>
  </si>
  <si>
    <t>Каша рассыпчатая гречневая</t>
  </si>
  <si>
    <t>Фрукт</t>
  </si>
  <si>
    <t>№338-2015г.</t>
  </si>
  <si>
    <t>Яблоко свежее (порциями)</t>
  </si>
  <si>
    <t>Завтрак 1-4 кл и дети-инвалиды 1 смена</t>
  </si>
  <si>
    <t>ТТК №50</t>
  </si>
  <si>
    <t>№424-2015г.</t>
  </si>
  <si>
    <t>Булочка домашняя</t>
  </si>
  <si>
    <t>№223-2015г.</t>
  </si>
  <si>
    <t>Запеканка из творога с молоком сгущённым</t>
  </si>
  <si>
    <t>75/15</t>
  </si>
  <si>
    <t>№686-2004г.</t>
  </si>
  <si>
    <t>Чай с лимоном</t>
  </si>
  <si>
    <t>200/15/7</t>
  </si>
  <si>
    <t>ТТК №18</t>
  </si>
  <si>
    <t>Филе цыплёнка запечённое</t>
  </si>
  <si>
    <t>Кондитерское изделие</t>
  </si>
  <si>
    <t>ПР</t>
  </si>
  <si>
    <t>№304-2015г.</t>
  </si>
  <si>
    <t>Рис отварной</t>
  </si>
  <si>
    <t>№382-2015г.</t>
  </si>
  <si>
    <t>Какао с молоком</t>
  </si>
  <si>
    <t>№306-2015г.</t>
  </si>
  <si>
    <t xml:space="preserve">Бобовые отварные (кукуруза сахарная консервированная) </t>
  </si>
  <si>
    <t>Блинчик с ягодным джемом</t>
  </si>
  <si>
    <t>№15-2015г.</t>
  </si>
  <si>
    <t>Сыр "Российский" (порциями)</t>
  </si>
  <si>
    <t>Завтрак 5-11 кл с доплатой 70,00 руб. и льготники с доплатой 50,00 руб. 1 смена</t>
  </si>
  <si>
    <t>Печенье сахарное</t>
  </si>
  <si>
    <t>50/7</t>
  </si>
  <si>
    <t>Обед 6-7 кл. с доплатой 70,00 руб. и льготники с доплатой 50,00 руб. 2-я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</si>
</sst>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2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7" fillId="0" borderId="5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2" fontId="4" fillId="0" borderId="29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2" fontId="3" fillId="0" borderId="16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3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2" fontId="4" fillId="0" borderId="30" xfId="0" applyNumberFormat="1" applyFont="1" applyBorder="1" applyAlignment="1">
      <alignment vertical="center" wrapText="1"/>
    </xf>
    <xf numFmtId="2" fontId="4" fillId="0" borderId="40" xfId="0" applyNumberFormat="1" applyFont="1" applyBorder="1" applyAlignment="1">
      <alignment vertical="center" wrapText="1"/>
    </xf>
    <xf numFmtId="2" fontId="4" fillId="0" borderId="2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0" xfId="0" applyFont="1"/>
    <xf numFmtId="0" fontId="8" fillId="0" borderId="39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5" fillId="0" borderId="0" xfId="0" applyFont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/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6" sqref="B16:J19"/>
    </sheetView>
  </sheetViews>
  <sheetFormatPr defaultRowHeight="15" x14ac:dyDescent="0.25"/>
  <cols>
    <col min="1" max="1" width="20.140625" style="2" customWidth="1"/>
    <col min="2" max="2" width="17.1406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7" t="s">
        <v>22</v>
      </c>
      <c r="C1" s="78"/>
      <c r="D1" s="1" t="s">
        <v>1</v>
      </c>
      <c r="E1" s="27"/>
      <c r="F1" s="1" t="s">
        <v>2</v>
      </c>
      <c r="G1" s="79">
        <v>44832</v>
      </c>
      <c r="H1" s="80"/>
      <c r="I1" s="80"/>
      <c r="J1" s="81"/>
      <c r="K1" s="1"/>
      <c r="L1" s="1"/>
    </row>
    <row r="2" spans="1:12" ht="15.75" thickBot="1" x14ac:dyDescent="0.3">
      <c r="A2" s="34" t="s">
        <v>3</v>
      </c>
      <c r="B2" s="5" t="s">
        <v>4</v>
      </c>
      <c r="C2" s="35" t="s">
        <v>5</v>
      </c>
      <c r="D2" s="39" t="s">
        <v>6</v>
      </c>
      <c r="E2" s="39" t="s">
        <v>7</v>
      </c>
      <c r="F2" s="39" t="s">
        <v>8</v>
      </c>
      <c r="G2" s="5" t="s">
        <v>9</v>
      </c>
      <c r="H2" s="5" t="s">
        <v>10</v>
      </c>
      <c r="I2" s="5" t="s">
        <v>11</v>
      </c>
      <c r="J2" s="36" t="s">
        <v>12</v>
      </c>
    </row>
    <row r="3" spans="1:12" ht="15" customHeight="1" x14ac:dyDescent="0.25">
      <c r="A3" s="82" t="s">
        <v>47</v>
      </c>
      <c r="B3" s="60" t="s">
        <v>30</v>
      </c>
      <c r="C3" s="53" t="s">
        <v>65</v>
      </c>
      <c r="D3" s="53" t="s">
        <v>66</v>
      </c>
      <c r="E3" s="14">
        <v>20</v>
      </c>
      <c r="F3" s="15">
        <v>9.68</v>
      </c>
      <c r="G3" s="15">
        <f>736*0.02</f>
        <v>14.72</v>
      </c>
      <c r="H3" s="15">
        <f>20.55*0.02</f>
        <v>0.41100000000000003</v>
      </c>
      <c r="I3" s="15">
        <f>29.1*0.02</f>
        <v>0.58200000000000007</v>
      </c>
      <c r="J3" s="16">
        <f>97.89*0.02</f>
        <v>1.9578</v>
      </c>
    </row>
    <row r="4" spans="1:12" s="63" customFormat="1" ht="15" customHeight="1" x14ac:dyDescent="0.25">
      <c r="A4" s="82"/>
      <c r="B4" s="8" t="s">
        <v>13</v>
      </c>
      <c r="C4" s="6" t="s">
        <v>57</v>
      </c>
      <c r="D4" s="6" t="s">
        <v>58</v>
      </c>
      <c r="E4" s="17">
        <v>50</v>
      </c>
      <c r="F4" s="7">
        <v>34.229999999999997</v>
      </c>
      <c r="G4" s="25">
        <f>129.15*1</f>
        <v>129.15</v>
      </c>
      <c r="H4" s="25">
        <f>17.2*1</f>
        <v>17.2</v>
      </c>
      <c r="I4" s="25">
        <f>3.8*1</f>
        <v>3.8</v>
      </c>
      <c r="J4" s="26">
        <f>6.6*1</f>
        <v>6.6</v>
      </c>
    </row>
    <row r="5" spans="1:12" s="63" customFormat="1" ht="15" customHeight="1" x14ac:dyDescent="0.25">
      <c r="A5" s="82"/>
      <c r="B5" s="8" t="s">
        <v>17</v>
      </c>
      <c r="C5" s="6" t="s">
        <v>61</v>
      </c>
      <c r="D5" s="6" t="s">
        <v>62</v>
      </c>
      <c r="E5" s="17">
        <v>130</v>
      </c>
      <c r="F5" s="7">
        <v>13.7</v>
      </c>
      <c r="G5" s="7">
        <f>1398*0.13</f>
        <v>181.74</v>
      </c>
      <c r="H5" s="7">
        <f>24.34*0.13</f>
        <v>3.1642000000000001</v>
      </c>
      <c r="I5" s="7">
        <f>35.83*0.13</f>
        <v>4.6578999999999997</v>
      </c>
      <c r="J5" s="9">
        <f>244.56*0.13</f>
        <v>31.7928</v>
      </c>
    </row>
    <row r="6" spans="1:12" s="59" customFormat="1" x14ac:dyDescent="0.25">
      <c r="A6" s="82"/>
      <c r="B6" s="8" t="s">
        <v>18</v>
      </c>
      <c r="C6" s="6" t="s">
        <v>63</v>
      </c>
      <c r="D6" s="6" t="s">
        <v>64</v>
      </c>
      <c r="E6" s="17">
        <v>200</v>
      </c>
      <c r="F6" s="7">
        <v>17.07</v>
      </c>
      <c r="G6" s="7">
        <f>593*0.2</f>
        <v>118.60000000000001</v>
      </c>
      <c r="H6" s="7">
        <f>20.39*0.2</f>
        <v>4.0780000000000003</v>
      </c>
      <c r="I6" s="7">
        <f>17.72*0.2</f>
        <v>3.544</v>
      </c>
      <c r="J6" s="9">
        <f>87.89*0.2</f>
        <v>17.577999999999999</v>
      </c>
    </row>
    <row r="7" spans="1:12" s="45" customFormat="1" ht="15" customHeight="1" x14ac:dyDescent="0.25">
      <c r="A7" s="82"/>
      <c r="B7" s="8" t="s">
        <v>21</v>
      </c>
      <c r="C7" s="50" t="s">
        <v>48</v>
      </c>
      <c r="D7" s="62" t="s">
        <v>67</v>
      </c>
      <c r="E7" s="17">
        <v>55</v>
      </c>
      <c r="F7" s="7">
        <v>21.18</v>
      </c>
      <c r="G7" s="51">
        <f>192.8/90*55</f>
        <v>117.82222222222222</v>
      </c>
      <c r="H7" s="25">
        <f>2.9/9*55</f>
        <v>17.722222222222221</v>
      </c>
      <c r="I7" s="25">
        <f>7.6/9*55</f>
        <v>46.444444444444443</v>
      </c>
      <c r="J7" s="26">
        <f>28.3/9*55</f>
        <v>172.94444444444443</v>
      </c>
    </row>
    <row r="8" spans="1:12" s="41" customFormat="1" ht="15.75" thickBot="1" x14ac:dyDescent="0.3">
      <c r="A8" s="82"/>
      <c r="B8" s="10" t="s">
        <v>14</v>
      </c>
      <c r="C8" s="11" t="s">
        <v>31</v>
      </c>
      <c r="D8" s="11" t="s">
        <v>32</v>
      </c>
      <c r="E8" s="18">
        <v>29.5</v>
      </c>
      <c r="F8" s="19">
        <v>1.29</v>
      </c>
      <c r="G8" s="19">
        <f>229.7*0.295</f>
        <v>67.761499999999998</v>
      </c>
      <c r="H8" s="12">
        <f>6.7*0.295</f>
        <v>1.9764999999999999</v>
      </c>
      <c r="I8" s="12">
        <f>1.1*0.295</f>
        <v>0.32450000000000001</v>
      </c>
      <c r="J8" s="13">
        <f>48.3*0.295</f>
        <v>14.248499999999998</v>
      </c>
    </row>
    <row r="9" spans="1:12" ht="16.5" thickBot="1" x14ac:dyDescent="0.3">
      <c r="A9" s="68" t="s">
        <v>15</v>
      </c>
      <c r="B9" s="83"/>
      <c r="C9" s="83"/>
      <c r="D9" s="83"/>
      <c r="E9" s="84"/>
      <c r="F9" s="47">
        <f>SUM(F3:F8)</f>
        <v>97.15000000000002</v>
      </c>
      <c r="G9" s="47">
        <f>SUM(G3:G8)</f>
        <v>629.79372222222219</v>
      </c>
      <c r="H9" s="48">
        <f>SUM(H3:H8)</f>
        <v>44.551922222222224</v>
      </c>
      <c r="I9" s="23">
        <f>SUM(I3:I8)</f>
        <v>59.352844444444443</v>
      </c>
      <c r="J9" s="49">
        <f>SUM(J3:J8)</f>
        <v>245.12154444444442</v>
      </c>
    </row>
    <row r="10" spans="1:12" x14ac:dyDescent="0.25">
      <c r="A10" s="85" t="s">
        <v>27</v>
      </c>
      <c r="B10" s="21" t="s">
        <v>16</v>
      </c>
      <c r="C10" s="22" t="s">
        <v>37</v>
      </c>
      <c r="D10" s="22" t="s">
        <v>38</v>
      </c>
      <c r="E10" s="14" t="s">
        <v>39</v>
      </c>
      <c r="F10" s="15">
        <v>13.42</v>
      </c>
      <c r="G10" s="15">
        <f>429*0.25+162*0.1</f>
        <v>123.45</v>
      </c>
      <c r="H10" s="15">
        <f>8.07*0.25+2.6*0.1</f>
        <v>2.2774999999999999</v>
      </c>
      <c r="I10" s="15">
        <f>20.36*0.25+15*0.1</f>
        <v>6.59</v>
      </c>
      <c r="J10" s="16">
        <f>47.92*0.25+3.6*0.1</f>
        <v>12.34</v>
      </c>
      <c r="K10"/>
    </row>
    <row r="11" spans="1:12" x14ac:dyDescent="0.25">
      <c r="A11" s="85"/>
      <c r="B11" s="8" t="s">
        <v>13</v>
      </c>
      <c r="C11" s="6" t="s">
        <v>40</v>
      </c>
      <c r="D11" s="6" t="s">
        <v>41</v>
      </c>
      <c r="E11" s="17">
        <v>33</v>
      </c>
      <c r="F11" s="7">
        <v>15.45</v>
      </c>
      <c r="G11" s="25">
        <f>182/50*33</f>
        <v>120.12</v>
      </c>
      <c r="H11" s="25">
        <f>6.74/50*33</f>
        <v>4.4484000000000004</v>
      </c>
      <c r="I11" s="25">
        <f>13.91/50*33</f>
        <v>9.1806000000000001</v>
      </c>
      <c r="J11" s="26">
        <f>7.09/50*33</f>
        <v>4.6794000000000002</v>
      </c>
      <c r="K11"/>
    </row>
    <row r="12" spans="1:12" s="31" customFormat="1" x14ac:dyDescent="0.25">
      <c r="A12" s="85"/>
      <c r="B12" s="8" t="s">
        <v>17</v>
      </c>
      <c r="C12" s="6" t="s">
        <v>42</v>
      </c>
      <c r="D12" s="6" t="s">
        <v>43</v>
      </c>
      <c r="E12" s="17">
        <v>100</v>
      </c>
      <c r="F12" s="7">
        <v>10.029999999999999</v>
      </c>
      <c r="G12" s="55">
        <v>162.5</v>
      </c>
      <c r="H12" s="55">
        <v>5.73</v>
      </c>
      <c r="I12" s="55">
        <v>4.0599999999999996</v>
      </c>
      <c r="J12" s="56">
        <v>25.76</v>
      </c>
      <c r="K12"/>
    </row>
    <row r="13" spans="1:12" s="31" customFormat="1" x14ac:dyDescent="0.25">
      <c r="A13" s="85"/>
      <c r="B13" s="8" t="s">
        <v>18</v>
      </c>
      <c r="C13" s="6" t="s">
        <v>19</v>
      </c>
      <c r="D13" s="6" t="s">
        <v>20</v>
      </c>
      <c r="E13" s="17" t="s">
        <v>33</v>
      </c>
      <c r="F13" s="7">
        <v>2.2599999999999998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85"/>
      <c r="B14" s="10" t="s">
        <v>14</v>
      </c>
      <c r="C14" s="11" t="s">
        <v>31</v>
      </c>
      <c r="D14" s="11" t="s">
        <v>32</v>
      </c>
      <c r="E14" s="18">
        <v>26</v>
      </c>
      <c r="F14" s="19">
        <v>1.1299999999999999</v>
      </c>
      <c r="G14" s="19">
        <f>229.7*0.26</f>
        <v>59.722000000000001</v>
      </c>
      <c r="H14" s="12">
        <f>6.7*0.26</f>
        <v>1.7420000000000002</v>
      </c>
      <c r="I14" s="12">
        <f>1.1*0.26</f>
        <v>0.28600000000000003</v>
      </c>
      <c r="J14" s="13">
        <f>48.3*0.26</f>
        <v>12.558</v>
      </c>
    </row>
    <row r="15" spans="1:12" ht="16.5" thickBot="1" x14ac:dyDescent="0.3">
      <c r="A15" s="86" t="s">
        <v>15</v>
      </c>
      <c r="B15" s="87"/>
      <c r="C15" s="87"/>
      <c r="D15" s="87"/>
      <c r="E15" s="88"/>
      <c r="F15" s="30">
        <f>SUM(F10:F14)</f>
        <v>42.29</v>
      </c>
      <c r="G15" s="30">
        <f t="shared" ref="G15:J15" si="0">SUM(G10:G14)</f>
        <v>525.79200000000003</v>
      </c>
      <c r="H15" s="30">
        <f t="shared" si="0"/>
        <v>14.267900000000001</v>
      </c>
      <c r="I15" s="30">
        <f t="shared" si="0"/>
        <v>20.136600000000001</v>
      </c>
      <c r="J15" s="30">
        <f t="shared" si="0"/>
        <v>70.337400000000002</v>
      </c>
    </row>
    <row r="16" spans="1:12" s="40" customFormat="1" x14ac:dyDescent="0.25">
      <c r="A16" s="89" t="s">
        <v>28</v>
      </c>
      <c r="B16" s="21" t="s">
        <v>16</v>
      </c>
      <c r="C16" s="22" t="s">
        <v>37</v>
      </c>
      <c r="D16" s="22" t="s">
        <v>38</v>
      </c>
      <c r="E16" s="14" t="s">
        <v>39</v>
      </c>
      <c r="F16" s="15">
        <v>13.42</v>
      </c>
      <c r="G16" s="15">
        <f>429*0.25+162*0.1</f>
        <v>123.45</v>
      </c>
      <c r="H16" s="15">
        <f>8.07*0.25+2.6*0.1</f>
        <v>2.2774999999999999</v>
      </c>
      <c r="I16" s="15">
        <f>20.36*0.25+15*0.1</f>
        <v>6.59</v>
      </c>
      <c r="J16" s="16">
        <f>47.92*0.25+3.6*0.1</f>
        <v>12.34</v>
      </c>
    </row>
    <row r="17" spans="1:11" s="61" customFormat="1" x14ac:dyDescent="0.25">
      <c r="A17" s="90"/>
      <c r="B17" s="8" t="s">
        <v>13</v>
      </c>
      <c r="C17" s="50" t="s">
        <v>51</v>
      </c>
      <c r="D17" s="54" t="s">
        <v>52</v>
      </c>
      <c r="E17" s="17" t="s">
        <v>53</v>
      </c>
      <c r="F17" s="7">
        <v>42.58</v>
      </c>
      <c r="G17" s="55">
        <f>282*0.75+260*0.15</f>
        <v>250.5</v>
      </c>
      <c r="H17" s="55">
        <f>15.12*0.75+7.5*0.15</f>
        <v>12.465</v>
      </c>
      <c r="I17" s="55">
        <f>14.1*0.75+0.2*0.15</f>
        <v>10.604999999999999</v>
      </c>
      <c r="J17" s="56">
        <f>22.5*0.75+56.8*0.15</f>
        <v>25.395</v>
      </c>
    </row>
    <row r="18" spans="1:11" s="28" customFormat="1" x14ac:dyDescent="0.25">
      <c r="A18" s="90"/>
      <c r="B18" s="8" t="s">
        <v>13</v>
      </c>
      <c r="C18" s="6" t="s">
        <v>40</v>
      </c>
      <c r="D18" s="6" t="s">
        <v>41</v>
      </c>
      <c r="E18" s="17">
        <v>50</v>
      </c>
      <c r="F18" s="7">
        <v>23.41</v>
      </c>
      <c r="G18" s="25">
        <f>182/50*50</f>
        <v>182</v>
      </c>
      <c r="H18" s="25">
        <f>6.74/50*50</f>
        <v>6.74</v>
      </c>
      <c r="I18" s="25">
        <f>13.91/50*50</f>
        <v>13.91</v>
      </c>
      <c r="J18" s="26">
        <f>7.09/50*50</f>
        <v>7.0900000000000007</v>
      </c>
      <c r="K18"/>
    </row>
    <row r="19" spans="1:11" s="38" customFormat="1" x14ac:dyDescent="0.25">
      <c r="A19" s="90"/>
      <c r="B19" s="8" t="s">
        <v>17</v>
      </c>
      <c r="C19" s="6" t="s">
        <v>42</v>
      </c>
      <c r="D19" s="6" t="s">
        <v>43</v>
      </c>
      <c r="E19" s="17">
        <v>120</v>
      </c>
      <c r="F19" s="7">
        <v>12.04</v>
      </c>
      <c r="G19" s="55">
        <f>162.5*1.2</f>
        <v>195</v>
      </c>
      <c r="H19" s="55">
        <f>5.73*1.2</f>
        <v>6.8760000000000003</v>
      </c>
      <c r="I19" s="55">
        <f>4.06*1.2</f>
        <v>4.871999999999999</v>
      </c>
      <c r="J19" s="56">
        <f>25.76*1.2</f>
        <v>30.911999999999999</v>
      </c>
      <c r="K19"/>
    </row>
    <row r="20" spans="1:11" s="37" customFormat="1" x14ac:dyDescent="0.25">
      <c r="A20" s="90"/>
      <c r="B20" s="8" t="s">
        <v>18</v>
      </c>
      <c r="C20" s="6" t="s">
        <v>54</v>
      </c>
      <c r="D20" s="6" t="s">
        <v>55</v>
      </c>
      <c r="E20" s="17" t="s">
        <v>56</v>
      </c>
      <c r="F20" s="7">
        <v>3.65</v>
      </c>
      <c r="G20" s="7">
        <v>62</v>
      </c>
      <c r="H20" s="7">
        <v>0.13</v>
      </c>
      <c r="I20" s="7">
        <v>0.02</v>
      </c>
      <c r="J20" s="9">
        <v>15.2</v>
      </c>
    </row>
    <row r="21" spans="1:11" s="37" customFormat="1" ht="15.75" thickBot="1" x14ac:dyDescent="0.3">
      <c r="A21" s="90"/>
      <c r="B21" s="10" t="s">
        <v>14</v>
      </c>
      <c r="C21" s="11" t="s">
        <v>31</v>
      </c>
      <c r="D21" s="11" t="s">
        <v>32</v>
      </c>
      <c r="E21" s="18">
        <v>47</v>
      </c>
      <c r="F21" s="19">
        <v>2.0499999999999998</v>
      </c>
      <c r="G21" s="19">
        <f>229.7*0.47</f>
        <v>107.95899999999999</v>
      </c>
      <c r="H21" s="12">
        <f>6.7*0.47</f>
        <v>3.149</v>
      </c>
      <c r="I21" s="12">
        <f>1.1*0.47</f>
        <v>0.51700000000000002</v>
      </c>
      <c r="J21" s="13">
        <f>48.3*0.47</f>
        <v>22.700999999999997</v>
      </c>
    </row>
    <row r="22" spans="1:11" s="32" customFormat="1" ht="16.5" thickBot="1" x14ac:dyDescent="0.3">
      <c r="A22" s="68" t="s">
        <v>15</v>
      </c>
      <c r="B22" s="69"/>
      <c r="C22" s="69"/>
      <c r="D22" s="69"/>
      <c r="E22" s="70"/>
      <c r="F22" s="20">
        <f>SUM(F16:F21)</f>
        <v>97.149999999999991</v>
      </c>
      <c r="G22" s="20">
        <f>SUM(G16:G21)</f>
        <v>920.90899999999999</v>
      </c>
      <c r="H22" s="20">
        <f>SUM(H16:H21)</f>
        <v>31.637500000000003</v>
      </c>
      <c r="I22" s="20">
        <f>SUM(I16:I21)</f>
        <v>36.514000000000003</v>
      </c>
      <c r="J22" s="20">
        <f>SUM(J16:J21)</f>
        <v>113.63799999999999</v>
      </c>
      <c r="K22"/>
    </row>
    <row r="23" spans="1:11" s="37" customFormat="1" x14ac:dyDescent="0.25">
      <c r="A23" s="85" t="s">
        <v>29</v>
      </c>
      <c r="B23" s="21" t="s">
        <v>18</v>
      </c>
      <c r="C23" s="22" t="s">
        <v>19</v>
      </c>
      <c r="D23" s="22" t="s">
        <v>20</v>
      </c>
      <c r="E23" s="14" t="s">
        <v>33</v>
      </c>
      <c r="F23" s="15">
        <v>2.2599999999999998</v>
      </c>
      <c r="G23" s="15">
        <v>60</v>
      </c>
      <c r="H23" s="15">
        <v>7.0000000000000007E-2</v>
      </c>
      <c r="I23" s="15">
        <v>0.02</v>
      </c>
      <c r="J23" s="16">
        <v>15</v>
      </c>
      <c r="K23"/>
    </row>
    <row r="24" spans="1:11" s="46" customFormat="1" ht="15.75" x14ac:dyDescent="0.25">
      <c r="A24" s="85"/>
      <c r="B24" s="8" t="s">
        <v>21</v>
      </c>
      <c r="C24" s="50" t="s">
        <v>48</v>
      </c>
      <c r="D24" s="62" t="s">
        <v>67</v>
      </c>
      <c r="E24" s="17">
        <v>55</v>
      </c>
      <c r="F24" s="7">
        <v>21.18</v>
      </c>
      <c r="G24" s="51">
        <f>192.8/90*55</f>
        <v>117.82222222222222</v>
      </c>
      <c r="H24" s="25">
        <f>2.9/9*55</f>
        <v>17.722222222222221</v>
      </c>
      <c r="I24" s="25">
        <f>7.6/9*55</f>
        <v>46.444444444444443</v>
      </c>
      <c r="J24" s="26">
        <f>28.3/9*55</f>
        <v>172.94444444444443</v>
      </c>
      <c r="K24"/>
    </row>
    <row r="25" spans="1:11" s="38" customFormat="1" ht="15.75" thickBot="1" x14ac:dyDescent="0.3">
      <c r="A25" s="85"/>
      <c r="B25" s="10" t="s">
        <v>44</v>
      </c>
      <c r="C25" s="11" t="s">
        <v>45</v>
      </c>
      <c r="D25" s="11" t="s">
        <v>46</v>
      </c>
      <c r="E25" s="57">
        <v>120</v>
      </c>
      <c r="F25" s="12">
        <v>18.850000000000001</v>
      </c>
      <c r="G25" s="58">
        <f>47*1.2</f>
        <v>56.4</v>
      </c>
      <c r="H25" s="19">
        <f>0.4*1.2</f>
        <v>0.48</v>
      </c>
      <c r="I25" s="19">
        <f>0.4*1.2</f>
        <v>0.48</v>
      </c>
      <c r="J25" s="33">
        <f>9.8*1.2</f>
        <v>11.76</v>
      </c>
    </row>
    <row r="26" spans="1:11" ht="16.5" thickBot="1" x14ac:dyDescent="0.3">
      <c r="A26" s="71" t="s">
        <v>15</v>
      </c>
      <c r="B26" s="72"/>
      <c r="C26" s="72"/>
      <c r="D26" s="72"/>
      <c r="E26" s="73"/>
      <c r="F26" s="3">
        <f>SUM(F23:F25)</f>
        <v>42.29</v>
      </c>
      <c r="G26" s="3">
        <f>SUM(G23:G25)</f>
        <v>234.22222222222223</v>
      </c>
      <c r="H26" s="3">
        <f>SUM(H23:H25)</f>
        <v>18.272222222222222</v>
      </c>
      <c r="I26" s="3">
        <f>SUM(I23:I25)</f>
        <v>46.944444444444443</v>
      </c>
      <c r="J26" s="3">
        <f>SUM(J23:J25)</f>
        <v>199.70444444444442</v>
      </c>
      <c r="K26"/>
    </row>
    <row r="28" spans="1:11" ht="15.75" thickBot="1" x14ac:dyDescent="0.3">
      <c r="A28" s="74" t="s">
        <v>25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1" ht="15.75" x14ac:dyDescent="0.25">
      <c r="A29" s="24"/>
      <c r="B29" s="24"/>
      <c r="C29" s="75" t="s">
        <v>23</v>
      </c>
      <c r="D29" s="75"/>
      <c r="G29" s="76"/>
      <c r="H29" s="76"/>
      <c r="I29" s="76"/>
      <c r="J29" s="76"/>
    </row>
    <row r="30" spans="1:11" x14ac:dyDescent="0.25">
      <c r="A30" s="1"/>
      <c r="B30" s="1"/>
      <c r="C30" s="1"/>
      <c r="D30" s="1"/>
    </row>
    <row r="31" spans="1:11" x14ac:dyDescent="0.25">
      <c r="A31" s="65" t="s">
        <v>24</v>
      </c>
      <c r="B31" s="65"/>
    </row>
    <row r="32" spans="1:11" x14ac:dyDescent="0.25">
      <c r="A32" s="65" t="s">
        <v>26</v>
      </c>
      <c r="B32" s="65"/>
    </row>
    <row r="33" spans="1:1" x14ac:dyDescent="0.25">
      <c r="A33" s="4"/>
    </row>
  </sheetData>
  <mergeCells count="15">
    <mergeCell ref="A31:B31"/>
    <mergeCell ref="A32:B32"/>
    <mergeCell ref="A3:A8"/>
    <mergeCell ref="A23:A25"/>
    <mergeCell ref="A26:E26"/>
    <mergeCell ref="A16:A21"/>
    <mergeCell ref="B1:C1"/>
    <mergeCell ref="G1:J1"/>
    <mergeCell ref="C29:D29"/>
    <mergeCell ref="A28:J28"/>
    <mergeCell ref="G29:J29"/>
    <mergeCell ref="A9:E9"/>
    <mergeCell ref="A10:A14"/>
    <mergeCell ref="A15:E15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workbookViewId="0">
      <selection activeCell="A33" sqref="A33:J33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91" t="s">
        <v>22</v>
      </c>
      <c r="C1" s="92"/>
      <c r="D1" s="1" t="s">
        <v>1</v>
      </c>
      <c r="E1" s="27"/>
      <c r="F1" s="1" t="s">
        <v>2</v>
      </c>
      <c r="G1" s="79">
        <v>44832</v>
      </c>
      <c r="H1" s="80"/>
      <c r="I1" s="80"/>
      <c r="J1" s="81"/>
      <c r="K1" s="1"/>
      <c r="L1" s="1"/>
    </row>
    <row r="2" spans="1:12" ht="15.75" thickBot="1" x14ac:dyDescent="0.3">
      <c r="A2" s="34" t="s">
        <v>3</v>
      </c>
      <c r="B2" s="42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4" t="s">
        <v>12</v>
      </c>
    </row>
    <row r="3" spans="1:12" x14ac:dyDescent="0.25">
      <c r="A3" s="82" t="s">
        <v>70</v>
      </c>
      <c r="B3" s="60" t="s">
        <v>30</v>
      </c>
      <c r="C3" s="53" t="s">
        <v>68</v>
      </c>
      <c r="D3" s="53" t="s">
        <v>69</v>
      </c>
      <c r="E3" s="14">
        <v>13</v>
      </c>
      <c r="F3" s="14">
        <v>13.37</v>
      </c>
      <c r="G3" s="15">
        <f>3.64*13</f>
        <v>47.32</v>
      </c>
      <c r="H3" s="15">
        <f>23.2*0.13</f>
        <v>3.016</v>
      </c>
      <c r="I3" s="15">
        <f>29.5*0.13</f>
        <v>3.835</v>
      </c>
      <c r="J3" s="16">
        <f>0</f>
        <v>0</v>
      </c>
    </row>
    <row r="4" spans="1:12" s="61" customFormat="1" ht="30" x14ac:dyDescent="0.25">
      <c r="A4" s="82"/>
      <c r="B4" s="101" t="s">
        <v>30</v>
      </c>
      <c r="C4" s="50" t="s">
        <v>65</v>
      </c>
      <c r="D4" s="50" t="s">
        <v>66</v>
      </c>
      <c r="E4" s="17">
        <v>15</v>
      </c>
      <c r="F4" s="7">
        <v>7.26</v>
      </c>
      <c r="G4" s="7">
        <f>736*0.015</f>
        <v>11.04</v>
      </c>
      <c r="H4" s="7">
        <f>20.55*0.015</f>
        <v>0.30825000000000002</v>
      </c>
      <c r="I4" s="7">
        <f>29.1*0.015</f>
        <v>0.4365</v>
      </c>
      <c r="J4" s="9">
        <f>97.89*0.015</f>
        <v>1.46835</v>
      </c>
    </row>
    <row r="5" spans="1:12" s="41" customFormat="1" x14ac:dyDescent="0.25">
      <c r="A5" s="82"/>
      <c r="B5" s="8" t="s">
        <v>13</v>
      </c>
      <c r="C5" s="6" t="s">
        <v>57</v>
      </c>
      <c r="D5" s="6" t="s">
        <v>58</v>
      </c>
      <c r="E5" s="17">
        <v>50</v>
      </c>
      <c r="F5" s="7">
        <v>34.229999999999997</v>
      </c>
      <c r="G5" s="25">
        <f>129.15*1</f>
        <v>129.15</v>
      </c>
      <c r="H5" s="25">
        <f>17.2*1</f>
        <v>17.2</v>
      </c>
      <c r="I5" s="25">
        <f>3.8*1</f>
        <v>3.8</v>
      </c>
      <c r="J5" s="26">
        <f>6.6*1</f>
        <v>6.6</v>
      </c>
    </row>
    <row r="6" spans="1:12" s="64" customFormat="1" x14ac:dyDescent="0.25">
      <c r="A6" s="82"/>
      <c r="B6" s="8" t="s">
        <v>17</v>
      </c>
      <c r="C6" s="6" t="s">
        <v>61</v>
      </c>
      <c r="D6" s="6" t="s">
        <v>62</v>
      </c>
      <c r="E6" s="17">
        <v>120</v>
      </c>
      <c r="F6" s="7">
        <v>12.65</v>
      </c>
      <c r="G6" s="7">
        <f>1398*0.12</f>
        <v>167.76</v>
      </c>
      <c r="H6" s="7">
        <f>24.34*0.12</f>
        <v>2.9207999999999998</v>
      </c>
      <c r="I6" s="7">
        <f>35.83*0.12</f>
        <v>4.2995999999999999</v>
      </c>
      <c r="J6" s="9">
        <f>244.56*0.12</f>
        <v>29.347200000000001</v>
      </c>
    </row>
    <row r="7" spans="1:12" s="45" customFormat="1" x14ac:dyDescent="0.25">
      <c r="A7" s="82"/>
      <c r="B7" s="8" t="s">
        <v>18</v>
      </c>
      <c r="C7" s="6" t="s">
        <v>54</v>
      </c>
      <c r="D7" s="6" t="s">
        <v>55</v>
      </c>
      <c r="E7" s="17" t="s">
        <v>56</v>
      </c>
      <c r="F7" s="7">
        <v>3.65</v>
      </c>
      <c r="G7" s="7">
        <v>62</v>
      </c>
      <c r="H7" s="7">
        <v>0.13</v>
      </c>
      <c r="I7" s="7">
        <v>0.02</v>
      </c>
      <c r="J7" s="9">
        <v>15.2</v>
      </c>
    </row>
    <row r="8" spans="1:12" x14ac:dyDescent="0.25">
      <c r="A8" s="82"/>
      <c r="B8" s="8" t="s">
        <v>21</v>
      </c>
      <c r="C8" s="50" t="s">
        <v>49</v>
      </c>
      <c r="D8" s="6" t="s">
        <v>50</v>
      </c>
      <c r="E8" s="17">
        <v>50</v>
      </c>
      <c r="F8" s="7">
        <v>4.6500000000000004</v>
      </c>
      <c r="G8" s="51">
        <v>159</v>
      </c>
      <c r="H8" s="51">
        <v>3.64</v>
      </c>
      <c r="I8" s="51">
        <v>6.26</v>
      </c>
      <c r="J8" s="52">
        <v>21.96</v>
      </c>
    </row>
    <row r="9" spans="1:12" ht="15.75" thickBot="1" x14ac:dyDescent="0.3">
      <c r="A9" s="82"/>
      <c r="B9" s="10" t="s">
        <v>14</v>
      </c>
      <c r="C9" s="11" t="s">
        <v>31</v>
      </c>
      <c r="D9" s="11" t="s">
        <v>32</v>
      </c>
      <c r="E9" s="18">
        <v>27.5</v>
      </c>
      <c r="F9" s="19">
        <v>1.19</v>
      </c>
      <c r="G9" s="19">
        <f>229.7*0.275</f>
        <v>63.167500000000004</v>
      </c>
      <c r="H9" s="12">
        <f>6.7*0.275</f>
        <v>1.8425000000000002</v>
      </c>
      <c r="I9" s="12">
        <f>1.1*0.275</f>
        <v>0.30250000000000005</v>
      </c>
      <c r="J9" s="13">
        <f>48.3*0.275</f>
        <v>13.282500000000001</v>
      </c>
    </row>
    <row r="10" spans="1:12" ht="16.5" thickBot="1" x14ac:dyDescent="0.3">
      <c r="A10" s="93" t="s">
        <v>15</v>
      </c>
      <c r="B10" s="69"/>
      <c r="C10" s="69"/>
      <c r="D10" s="69"/>
      <c r="E10" s="94"/>
      <c r="F10" s="20">
        <f>SUM(F3:F9)</f>
        <v>77.000000000000014</v>
      </c>
      <c r="G10" s="20">
        <f>SUM(G3:G9)</f>
        <v>639.4375</v>
      </c>
      <c r="H10" s="20">
        <f>SUM(H3:H9)</f>
        <v>29.057549999999999</v>
      </c>
      <c r="I10" s="20">
        <f>SUM(I3:I9)</f>
        <v>18.953599999999998</v>
      </c>
      <c r="J10" s="20">
        <f>SUM(J3:J9)</f>
        <v>87.858049999999992</v>
      </c>
    </row>
    <row r="11" spans="1:12" s="29" customFormat="1" ht="30" x14ac:dyDescent="0.25">
      <c r="A11" s="89" t="s">
        <v>34</v>
      </c>
      <c r="B11" s="60" t="s">
        <v>30</v>
      </c>
      <c r="C11" s="53" t="s">
        <v>65</v>
      </c>
      <c r="D11" s="53" t="s">
        <v>66</v>
      </c>
      <c r="E11" s="14">
        <v>15</v>
      </c>
      <c r="F11" s="15">
        <v>7.26</v>
      </c>
      <c r="G11" s="15">
        <f>736*0.015</f>
        <v>11.04</v>
      </c>
      <c r="H11" s="15">
        <f>20.55*0.015</f>
        <v>0.30825000000000002</v>
      </c>
      <c r="I11" s="15">
        <f>29.1*0.015</f>
        <v>0.4365</v>
      </c>
      <c r="J11" s="16">
        <f>97.89*0.015</f>
        <v>1.46835</v>
      </c>
      <c r="K11"/>
    </row>
    <row r="12" spans="1:12" s="64" customFormat="1" x14ac:dyDescent="0.25">
      <c r="A12" s="90"/>
      <c r="B12" s="8" t="s">
        <v>17</v>
      </c>
      <c r="C12" s="6" t="s">
        <v>61</v>
      </c>
      <c r="D12" s="6" t="s">
        <v>62</v>
      </c>
      <c r="E12" s="17">
        <v>150</v>
      </c>
      <c r="F12" s="7">
        <v>15.81</v>
      </c>
      <c r="G12" s="7">
        <f>1398*0.15</f>
        <v>209.7</v>
      </c>
      <c r="H12" s="7">
        <f>24.34*0.15</f>
        <v>3.6509999999999998</v>
      </c>
      <c r="I12" s="7">
        <f>35.83*0.15</f>
        <v>5.3744999999999994</v>
      </c>
      <c r="J12" s="9">
        <f>244.56*0.15</f>
        <v>36.683999999999997</v>
      </c>
      <c r="K12"/>
    </row>
    <row r="13" spans="1:12" s="29" customFormat="1" x14ac:dyDescent="0.25">
      <c r="A13" s="90"/>
      <c r="B13" s="8" t="s">
        <v>18</v>
      </c>
      <c r="C13" s="6" t="s">
        <v>19</v>
      </c>
      <c r="D13" s="6" t="s">
        <v>20</v>
      </c>
      <c r="E13" s="17" t="s">
        <v>33</v>
      </c>
      <c r="F13" s="7">
        <v>2.2599999999999998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s="32" customFormat="1" ht="15.75" thickBot="1" x14ac:dyDescent="0.3">
      <c r="A14" s="100"/>
      <c r="B14" s="10" t="s">
        <v>14</v>
      </c>
      <c r="C14" s="11" t="s">
        <v>31</v>
      </c>
      <c r="D14" s="11" t="s">
        <v>32</v>
      </c>
      <c r="E14" s="18">
        <v>38.5</v>
      </c>
      <c r="F14" s="19">
        <v>1.67</v>
      </c>
      <c r="G14" s="19">
        <f>229.7*0.385</f>
        <v>88.4345</v>
      </c>
      <c r="H14" s="12">
        <f>6.7*0.385</f>
        <v>2.5795000000000003</v>
      </c>
      <c r="I14" s="12">
        <f>1.1*0.385</f>
        <v>0.42350000000000004</v>
      </c>
      <c r="J14" s="13">
        <f>48.3*0.385</f>
        <v>18.595499999999998</v>
      </c>
    </row>
    <row r="15" spans="1:12" ht="16.5" thickBot="1" x14ac:dyDescent="0.3">
      <c r="A15" s="96" t="s">
        <v>15</v>
      </c>
      <c r="B15" s="69"/>
      <c r="C15" s="69"/>
      <c r="D15" s="69"/>
      <c r="E15" s="94"/>
      <c r="F15" s="20">
        <f>SUM(F11:F14)</f>
        <v>27</v>
      </c>
      <c r="G15" s="20">
        <f>SUM(G11:G14)</f>
        <v>369.17450000000002</v>
      </c>
      <c r="H15" s="20">
        <f>SUM(H11:H14)</f>
        <v>6.6087500000000006</v>
      </c>
      <c r="I15" s="20">
        <f>SUM(I11:I14)</f>
        <v>6.2544999999999984</v>
      </c>
      <c r="J15" s="20">
        <f>SUM(J11:J14)</f>
        <v>71.74785</v>
      </c>
    </row>
    <row r="16" spans="1:12" s="31" customFormat="1" x14ac:dyDescent="0.25">
      <c r="A16" s="66" t="s">
        <v>35</v>
      </c>
      <c r="B16" s="21" t="s">
        <v>18</v>
      </c>
      <c r="C16" s="22" t="s">
        <v>19</v>
      </c>
      <c r="D16" s="22" t="s">
        <v>20</v>
      </c>
      <c r="E16" s="14" t="s">
        <v>33</v>
      </c>
      <c r="F16" s="15">
        <v>2.2599999999999998</v>
      </c>
      <c r="G16" s="15">
        <v>60</v>
      </c>
      <c r="H16" s="15">
        <v>7.0000000000000007E-2</v>
      </c>
      <c r="I16" s="15">
        <v>0.02</v>
      </c>
      <c r="J16" s="16">
        <v>15</v>
      </c>
    </row>
    <row r="17" spans="1:11" s="64" customFormat="1" ht="15.75" thickBot="1" x14ac:dyDescent="0.3">
      <c r="A17" s="67"/>
      <c r="B17" s="10" t="s">
        <v>59</v>
      </c>
      <c r="C17" s="11" t="s">
        <v>60</v>
      </c>
      <c r="D17" s="11" t="s">
        <v>71</v>
      </c>
      <c r="E17" s="18">
        <v>25</v>
      </c>
      <c r="F17" s="19">
        <v>4.74</v>
      </c>
      <c r="G17" s="19">
        <f>420*0.25</f>
        <v>105</v>
      </c>
      <c r="H17" s="19">
        <f>6.9*0.25</f>
        <v>1.7250000000000001</v>
      </c>
      <c r="I17" s="19">
        <f>14.7*0.25</f>
        <v>3.6749999999999998</v>
      </c>
      <c r="J17" s="33">
        <f>65*0.25</f>
        <v>16.25</v>
      </c>
      <c r="K17"/>
    </row>
    <row r="18" spans="1:11" ht="16.5" thickBot="1" x14ac:dyDescent="0.3">
      <c r="A18" s="97" t="s">
        <v>15</v>
      </c>
      <c r="B18" s="69"/>
      <c r="C18" s="69"/>
      <c r="D18" s="69"/>
      <c r="E18" s="94"/>
      <c r="F18" s="20">
        <f>SUM(F16:F17)</f>
        <v>7</v>
      </c>
      <c r="G18" s="20">
        <f>SUM(G16:G17)</f>
        <v>165</v>
      </c>
      <c r="H18" s="20">
        <f t="shared" ref="H18:J18" si="0">SUM(H16:H17)</f>
        <v>1.7950000000000002</v>
      </c>
      <c r="I18" s="20">
        <f t="shared" si="0"/>
        <v>3.6949999999999998</v>
      </c>
      <c r="J18" s="20">
        <f t="shared" si="0"/>
        <v>31.25</v>
      </c>
    </row>
    <row r="19" spans="1:11" x14ac:dyDescent="0.25">
      <c r="A19" s="95" t="s">
        <v>36</v>
      </c>
      <c r="B19" s="21" t="s">
        <v>16</v>
      </c>
      <c r="C19" s="22" t="s">
        <v>37</v>
      </c>
      <c r="D19" s="22" t="s">
        <v>38</v>
      </c>
      <c r="E19" s="14" t="s">
        <v>39</v>
      </c>
      <c r="F19" s="15">
        <v>13.42</v>
      </c>
      <c r="G19" s="15">
        <f>429*0.25+162*0.1</f>
        <v>123.45</v>
      </c>
      <c r="H19" s="15">
        <f>8.07*0.25+2.6*0.1</f>
        <v>2.2774999999999999</v>
      </c>
      <c r="I19" s="15">
        <f>20.36*0.25+15*0.1</f>
        <v>6.59</v>
      </c>
      <c r="J19" s="16">
        <f>47.92*0.25+3.6*0.1</f>
        <v>12.34</v>
      </c>
    </row>
    <row r="20" spans="1:11" x14ac:dyDescent="0.25">
      <c r="A20" s="85"/>
      <c r="B20" s="8" t="s">
        <v>13</v>
      </c>
      <c r="C20" s="6" t="s">
        <v>40</v>
      </c>
      <c r="D20" s="6" t="s">
        <v>41</v>
      </c>
      <c r="E20" s="17">
        <v>33</v>
      </c>
      <c r="F20" s="7">
        <v>15.45</v>
      </c>
      <c r="G20" s="25">
        <f>182/50*33</f>
        <v>120.12</v>
      </c>
      <c r="H20" s="25">
        <f>6.74/50*33</f>
        <v>4.4484000000000004</v>
      </c>
      <c r="I20" s="25">
        <f>13.91/50*33</f>
        <v>9.1806000000000001</v>
      </c>
      <c r="J20" s="26">
        <f>7.09/50*33</f>
        <v>4.6794000000000002</v>
      </c>
    </row>
    <row r="21" spans="1:11" s="31" customFormat="1" x14ac:dyDescent="0.25">
      <c r="A21" s="85"/>
      <c r="B21" s="8" t="s">
        <v>17</v>
      </c>
      <c r="C21" s="6" t="s">
        <v>42</v>
      </c>
      <c r="D21" s="6" t="s">
        <v>43</v>
      </c>
      <c r="E21" s="17">
        <v>120</v>
      </c>
      <c r="F21" s="7">
        <v>12.04</v>
      </c>
      <c r="G21" s="55">
        <f>162.5*1.2</f>
        <v>195</v>
      </c>
      <c r="H21" s="55">
        <f>5.73*1.2</f>
        <v>6.8760000000000003</v>
      </c>
      <c r="I21" s="55">
        <f>4.06*1.2</f>
        <v>4.871999999999999</v>
      </c>
      <c r="J21" s="56">
        <f>25.76*1.2</f>
        <v>30.911999999999999</v>
      </c>
    </row>
    <row r="22" spans="1:11" x14ac:dyDescent="0.25">
      <c r="A22" s="85"/>
      <c r="B22" s="8" t="s">
        <v>18</v>
      </c>
      <c r="C22" s="6" t="s">
        <v>19</v>
      </c>
      <c r="D22" s="6" t="s">
        <v>20</v>
      </c>
      <c r="E22" s="17" t="s">
        <v>33</v>
      </c>
      <c r="F22" s="7">
        <v>2.2599999999999998</v>
      </c>
      <c r="G22" s="7">
        <v>60</v>
      </c>
      <c r="H22" s="7">
        <v>7.0000000000000007E-2</v>
      </c>
      <c r="I22" s="7">
        <v>0.02</v>
      </c>
      <c r="J22" s="9">
        <v>15</v>
      </c>
    </row>
    <row r="23" spans="1:11" ht="15.75" thickBot="1" x14ac:dyDescent="0.3">
      <c r="A23" s="85"/>
      <c r="B23" s="10" t="s">
        <v>14</v>
      </c>
      <c r="C23" s="11" t="s">
        <v>31</v>
      </c>
      <c r="D23" s="11" t="s">
        <v>32</v>
      </c>
      <c r="E23" s="18">
        <v>42</v>
      </c>
      <c r="F23" s="19">
        <v>1.83</v>
      </c>
      <c r="G23" s="19">
        <f>229.7*0.42</f>
        <v>96.47399999999999</v>
      </c>
      <c r="H23" s="12">
        <f>6.7*0.42</f>
        <v>2.8140000000000001</v>
      </c>
      <c r="I23" s="12">
        <f>1.1*0.42</f>
        <v>0.46200000000000002</v>
      </c>
      <c r="J23" s="13">
        <f>48.3*0.42</f>
        <v>20.285999999999998</v>
      </c>
    </row>
    <row r="24" spans="1:11" ht="16.5" thickBot="1" x14ac:dyDescent="0.3">
      <c r="A24" s="68" t="s">
        <v>15</v>
      </c>
      <c r="B24" s="83"/>
      <c r="C24" s="83"/>
      <c r="D24" s="83"/>
      <c r="E24" s="99"/>
      <c r="F24" s="23">
        <f>SUM(F19:F23)</f>
        <v>44.999999999999993</v>
      </c>
      <c r="G24" s="23">
        <f>SUM(G19:G23)</f>
        <v>595.04399999999998</v>
      </c>
      <c r="H24" s="23">
        <f>SUM(H19:H23)</f>
        <v>16.485900000000001</v>
      </c>
      <c r="I24" s="23">
        <f>SUM(I19:I23)</f>
        <v>21.124599999999997</v>
      </c>
      <c r="J24" s="23">
        <f>SUM(J19:J23)</f>
        <v>83.217399999999998</v>
      </c>
    </row>
    <row r="25" spans="1:11" s="38" customFormat="1" x14ac:dyDescent="0.25">
      <c r="A25" s="98" t="s">
        <v>73</v>
      </c>
      <c r="B25" s="21" t="s">
        <v>16</v>
      </c>
      <c r="C25" s="22" t="s">
        <v>37</v>
      </c>
      <c r="D25" s="22" t="s">
        <v>38</v>
      </c>
      <c r="E25" s="14" t="s">
        <v>39</v>
      </c>
      <c r="F25" s="15">
        <v>13.42</v>
      </c>
      <c r="G25" s="15">
        <f>429*0.25+162*0.1</f>
        <v>123.45</v>
      </c>
      <c r="H25" s="15">
        <f>8.07*0.25+2.6*0.1</f>
        <v>2.2774999999999999</v>
      </c>
      <c r="I25" s="15">
        <f>20.36*0.25+15*0.1</f>
        <v>6.59</v>
      </c>
      <c r="J25" s="16">
        <f>47.92*0.25+3.6*0.1</f>
        <v>12.34</v>
      </c>
    </row>
    <row r="26" spans="1:11" x14ac:dyDescent="0.25">
      <c r="A26" s="98"/>
      <c r="B26" s="8" t="s">
        <v>13</v>
      </c>
      <c r="C26" s="50" t="s">
        <v>51</v>
      </c>
      <c r="D26" s="54" t="s">
        <v>52</v>
      </c>
      <c r="E26" s="17" t="s">
        <v>72</v>
      </c>
      <c r="F26" s="7">
        <v>26.67</v>
      </c>
      <c r="G26" s="55">
        <f>282*0.5+260*0.07</f>
        <v>159.19999999999999</v>
      </c>
      <c r="H26" s="55">
        <f>15.12*0.5+7.5*0.07</f>
        <v>8.0849999999999991</v>
      </c>
      <c r="I26" s="55">
        <f>14.1*0.5+0.2*0.07</f>
        <v>7.0640000000000001</v>
      </c>
      <c r="J26" s="56">
        <f>22.5*0.5+56.8*0.07</f>
        <v>15.225999999999999</v>
      </c>
    </row>
    <row r="27" spans="1:11" x14ac:dyDescent="0.25">
      <c r="A27" s="98"/>
      <c r="B27" s="8" t="s">
        <v>13</v>
      </c>
      <c r="C27" s="6" t="s">
        <v>40</v>
      </c>
      <c r="D27" s="6" t="s">
        <v>41</v>
      </c>
      <c r="E27" s="17">
        <v>50</v>
      </c>
      <c r="F27" s="7">
        <v>23.41</v>
      </c>
      <c r="G27" s="25">
        <f>182/50*50</f>
        <v>182</v>
      </c>
      <c r="H27" s="25">
        <f>6.74/50*50</f>
        <v>6.74</v>
      </c>
      <c r="I27" s="25">
        <f>13.91/50*50</f>
        <v>13.91</v>
      </c>
      <c r="J27" s="26">
        <f>7.09/50*50</f>
        <v>7.0900000000000007</v>
      </c>
    </row>
    <row r="28" spans="1:11" s="61" customFormat="1" x14ac:dyDescent="0.25">
      <c r="A28" s="98"/>
      <c r="B28" s="8" t="s">
        <v>17</v>
      </c>
      <c r="C28" s="6" t="s">
        <v>42</v>
      </c>
      <c r="D28" s="6" t="s">
        <v>43</v>
      </c>
      <c r="E28" s="17">
        <v>100</v>
      </c>
      <c r="F28" s="7">
        <v>10.029999999999999</v>
      </c>
      <c r="G28" s="55">
        <f>162.5*1</f>
        <v>162.5</v>
      </c>
      <c r="H28" s="55">
        <f>5.73*1</f>
        <v>5.73</v>
      </c>
      <c r="I28" s="55">
        <f>4.06*1</f>
        <v>4.0599999999999996</v>
      </c>
      <c r="J28" s="56">
        <f>25.76*1</f>
        <v>25.76</v>
      </c>
    </row>
    <row r="29" spans="1:11" s="37" customFormat="1" x14ac:dyDescent="0.25">
      <c r="A29" s="98"/>
      <c r="B29" s="8" t="s">
        <v>18</v>
      </c>
      <c r="C29" s="6" t="s">
        <v>19</v>
      </c>
      <c r="D29" s="6" t="s">
        <v>20</v>
      </c>
      <c r="E29" s="17" t="s">
        <v>33</v>
      </c>
      <c r="F29" s="7">
        <v>2.2599999999999998</v>
      </c>
      <c r="G29" s="7">
        <v>60</v>
      </c>
      <c r="H29" s="7">
        <v>7.0000000000000007E-2</v>
      </c>
      <c r="I29" s="7">
        <v>0.02</v>
      </c>
      <c r="J29" s="9">
        <v>15</v>
      </c>
    </row>
    <row r="30" spans="1:11" ht="15.75" thickBot="1" x14ac:dyDescent="0.3">
      <c r="A30" s="98"/>
      <c r="B30" s="10" t="s">
        <v>14</v>
      </c>
      <c r="C30" s="11" t="s">
        <v>31</v>
      </c>
      <c r="D30" s="11" t="s">
        <v>32</v>
      </c>
      <c r="E30" s="18">
        <v>28</v>
      </c>
      <c r="F30" s="19">
        <v>1.21</v>
      </c>
      <c r="G30" s="19">
        <f>229.7*0.28</f>
        <v>64.316000000000003</v>
      </c>
      <c r="H30" s="12">
        <f>6.7*0.28</f>
        <v>1.8760000000000003</v>
      </c>
      <c r="I30" s="12">
        <f>1.1*0.28</f>
        <v>0.30800000000000005</v>
      </c>
      <c r="J30" s="13">
        <f>48.3*0.28</f>
        <v>13.524000000000001</v>
      </c>
    </row>
    <row r="31" spans="1:11" ht="16.5" thickBot="1" x14ac:dyDescent="0.3">
      <c r="A31" s="68" t="s">
        <v>15</v>
      </c>
      <c r="B31" s="83"/>
      <c r="C31" s="83"/>
      <c r="D31" s="83"/>
      <c r="E31" s="99"/>
      <c r="F31" s="23">
        <f>SUM(F25:F30)</f>
        <v>77</v>
      </c>
      <c r="G31" s="23">
        <f>SUM(G25:G30)</f>
        <v>751.46600000000001</v>
      </c>
      <c r="H31" s="23">
        <f>SUM(H25:H30)</f>
        <v>24.778500000000001</v>
      </c>
      <c r="I31" s="23">
        <f>SUM(I25:I30)</f>
        <v>31.951999999999998</v>
      </c>
      <c r="J31" s="23">
        <f>SUM(J25:J30)</f>
        <v>88.94</v>
      </c>
    </row>
    <row r="33" spans="1:10" ht="15.75" thickBot="1" x14ac:dyDescent="0.3">
      <c r="A33" s="74" t="s">
        <v>25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5.75" x14ac:dyDescent="0.25">
      <c r="A34" s="24"/>
      <c r="B34" s="24"/>
      <c r="C34" s="75" t="s">
        <v>23</v>
      </c>
      <c r="D34" s="75"/>
      <c r="G34" s="76"/>
      <c r="H34" s="76"/>
      <c r="I34" s="76"/>
      <c r="J34" s="76"/>
    </row>
    <row r="35" spans="1:10" x14ac:dyDescent="0.25">
      <c r="A35" s="1"/>
      <c r="B35" s="1"/>
      <c r="C35" s="1"/>
      <c r="D35" s="1"/>
    </row>
    <row r="36" spans="1:10" x14ac:dyDescent="0.25">
      <c r="A36" s="65" t="s">
        <v>24</v>
      </c>
      <c r="B36" s="65"/>
    </row>
    <row r="37" spans="1:10" x14ac:dyDescent="0.25">
      <c r="A37" s="65" t="s">
        <v>26</v>
      </c>
      <c r="B37" s="65"/>
    </row>
    <row r="38" spans="1:10" x14ac:dyDescent="0.25">
      <c r="A38" s="4"/>
    </row>
  </sheetData>
  <mergeCells count="17">
    <mergeCell ref="A36:B36"/>
    <mergeCell ref="A37:B37"/>
    <mergeCell ref="A11:A14"/>
    <mergeCell ref="A15:E15"/>
    <mergeCell ref="A16:A17"/>
    <mergeCell ref="A18:E18"/>
    <mergeCell ref="A25:A30"/>
    <mergeCell ref="A31:E31"/>
    <mergeCell ref="A33:J33"/>
    <mergeCell ref="C34:D34"/>
    <mergeCell ref="G34:J34"/>
    <mergeCell ref="A24:E24"/>
    <mergeCell ref="B1:C1"/>
    <mergeCell ref="G1:J1"/>
    <mergeCell ref="A3:A9"/>
    <mergeCell ref="A10:E10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2022-09-27T12:42:39Z</dcterms:modified>
</cp:coreProperties>
</file>