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-4 кл" sheetId="1" r:id="rId1"/>
    <sheet name="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2"/>
  <c r="I20" i="2"/>
  <c r="H20" i="2"/>
  <c r="G20" i="2"/>
  <c r="J19" i="2"/>
  <c r="I19" i="2"/>
  <c r="H19" i="2"/>
  <c r="G19" i="2"/>
  <c r="J18" i="2"/>
  <c r="I18" i="2"/>
  <c r="H18" i="2"/>
  <c r="G18" i="2"/>
  <c r="J29" i="2"/>
  <c r="I29" i="2"/>
  <c r="H29" i="2"/>
  <c r="G29" i="2"/>
  <c r="J26" i="2"/>
  <c r="I26" i="2"/>
  <c r="H26" i="2"/>
  <c r="G26" i="2"/>
  <c r="J25" i="2"/>
  <c r="I25" i="2"/>
  <c r="H25" i="2"/>
  <c r="G25" i="2"/>
  <c r="J24" i="2"/>
  <c r="I24" i="2"/>
  <c r="H24" i="2"/>
  <c r="G24" i="2"/>
  <c r="J13" i="2" l="1"/>
  <c r="I13" i="2"/>
  <c r="H13" i="2"/>
  <c r="G13" i="2"/>
  <c r="J10" i="2" l="1"/>
  <c r="I10" i="2"/>
  <c r="H10" i="2"/>
  <c r="G10" i="2"/>
  <c r="F9" i="2"/>
  <c r="G3" i="2"/>
  <c r="J8" i="2"/>
  <c r="I8" i="2"/>
  <c r="H8" i="2"/>
  <c r="G8" i="2"/>
  <c r="J3" i="2" l="1"/>
  <c r="I3" i="2"/>
  <c r="H3" i="2"/>
  <c r="J22" i="1" l="1"/>
  <c r="I22" i="1"/>
  <c r="H22" i="1"/>
  <c r="G22" i="1"/>
  <c r="J19" i="1" l="1"/>
  <c r="I19" i="1"/>
  <c r="H19" i="1"/>
  <c r="G19" i="1"/>
  <c r="J18" i="1"/>
  <c r="I18" i="1"/>
  <c r="H18" i="1"/>
  <c r="G18" i="1"/>
  <c r="J16" i="1"/>
  <c r="I16" i="1"/>
  <c r="H16" i="1"/>
  <c r="G16" i="1"/>
  <c r="J14" i="1"/>
  <c r="I14" i="1"/>
  <c r="H14" i="1"/>
  <c r="G14" i="1"/>
  <c r="J8" i="1"/>
  <c r="I8" i="1"/>
  <c r="H8" i="1"/>
  <c r="G8" i="1"/>
  <c r="J7" i="1"/>
  <c r="I7" i="1"/>
  <c r="H7" i="1"/>
  <c r="G7" i="1"/>
  <c r="J3" i="1"/>
  <c r="I3" i="1"/>
  <c r="H3" i="1"/>
  <c r="G3" i="1"/>
  <c r="J11" i="2" l="1"/>
  <c r="I11" i="2"/>
  <c r="H11" i="2"/>
  <c r="G11" i="2"/>
  <c r="J5" i="2"/>
  <c r="I5" i="2"/>
  <c r="H5" i="2"/>
  <c r="G5" i="2"/>
  <c r="J4" i="2"/>
  <c r="J9" i="2" s="1"/>
  <c r="I4" i="2"/>
  <c r="I9" i="2" s="1"/>
  <c r="H4" i="2"/>
  <c r="H9" i="2" s="1"/>
  <c r="G4" i="2"/>
  <c r="G9" i="2" l="1"/>
  <c r="J12" i="1"/>
  <c r="I12" i="1"/>
  <c r="H12" i="1"/>
  <c r="G12" i="1"/>
  <c r="J11" i="1" l="1"/>
  <c r="I11" i="1"/>
  <c r="H11" i="1"/>
  <c r="G11" i="1"/>
  <c r="J4" i="1"/>
  <c r="I4" i="1"/>
  <c r="H4" i="1"/>
  <c r="G4" i="1"/>
  <c r="J17" i="1" l="1"/>
  <c r="I17" i="1"/>
  <c r="H17" i="1"/>
  <c r="G17" i="1"/>
  <c r="J10" i="1"/>
  <c r="I10" i="1"/>
  <c r="H10" i="1"/>
  <c r="G10" i="1"/>
  <c r="J5" i="1"/>
  <c r="I5" i="1"/>
  <c r="H5" i="1"/>
  <c r="G5" i="1"/>
  <c r="F23" i="2" l="1"/>
  <c r="J23" i="2"/>
  <c r="I23" i="2"/>
  <c r="H23" i="2"/>
  <c r="G23" i="2"/>
  <c r="F15" i="1" l="1"/>
  <c r="F30" i="2" l="1"/>
  <c r="F23" i="1"/>
  <c r="J23" i="1" l="1"/>
  <c r="I23" i="1"/>
  <c r="H23" i="1"/>
  <c r="G23" i="1"/>
  <c r="F9" i="1"/>
  <c r="J9" i="1"/>
  <c r="I9" i="1"/>
  <c r="H9" i="1"/>
  <c r="G9" i="1"/>
  <c r="J15" i="1" l="1"/>
  <c r="I15" i="1"/>
  <c r="H15" i="1"/>
  <c r="G15" i="1"/>
  <c r="F26" i="1"/>
  <c r="J26" i="1"/>
  <c r="I26" i="1"/>
  <c r="H26" i="1"/>
  <c r="G26" i="1"/>
  <c r="G17" i="2" l="1"/>
  <c r="J30" i="2" l="1"/>
  <c r="H30" i="2"/>
  <c r="G30" i="2"/>
  <c r="I30" i="2"/>
  <c r="F17" i="2" l="1"/>
  <c r="H17" i="2"/>
  <c r="F14" i="2"/>
  <c r="G14" i="2" l="1"/>
  <c r="I14" i="2"/>
  <c r="J17" i="2"/>
  <c r="H14" i="2"/>
  <c r="J14" i="2"/>
  <c r="I17" i="2"/>
</calcChain>
</file>

<file path=xl/sharedStrings.xml><?xml version="1.0" encoding="utf-8"?>
<sst xmlns="http://schemas.openxmlformats.org/spreadsheetml/2006/main" count="198" uniqueCount="80">
  <si>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</si>
  <si>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</si>
  <si>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</si>
  <si>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</si>
  <si>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</si>
  <si>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</si>
  <si>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</si>
  <si>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</si>
  <si>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</si>
  <si>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</si>
  <si>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</si>
  <si>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</si>
  <si>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</si>
  <si>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</si>
  <si>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</si>
  <si>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</si>
  <si>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</si>
  <si>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</si>
  <si>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</si>
  <si>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</si>
  <si>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</si>
  <si>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</si>
  <si>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</si>
  <si>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</si>
  <si>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</si>
  <si>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</si>
  <si>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</si>
  <si>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</si>
  <si>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</si>
  <si>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</si>
  <si>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</si>
  <si>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</si>
  <si>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</si>
  <si>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</si>
  <si>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</si>
  <si>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</si>
  <si>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</si>
  <si>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</si>
  <si>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№309-2015г.</t>
  </si>
  <si>
    <t>Кондитерское изделие</t>
  </si>
  <si>
    <t>ПР</t>
  </si>
  <si>
    <t>№71-2015г.</t>
  </si>
  <si>
    <t>Пюре картофельное</t>
  </si>
  <si>
    <t>№312-2015г.</t>
  </si>
  <si>
    <t>250/10/2</t>
  </si>
  <si>
    <t>Макароны отварные</t>
  </si>
  <si>
    <t>№82-2015г.</t>
  </si>
  <si>
    <t>Борщ со свежей капустой и картофелем со сметаной и зеленью</t>
  </si>
  <si>
    <t>Овощи натуральные свежие (помидоры)</t>
  </si>
  <si>
    <t>Напиток</t>
  </si>
  <si>
    <t>200</t>
  </si>
  <si>
    <t>№52-2015г.</t>
  </si>
  <si>
    <t>Салат из свеклы отварной с маслом растительным</t>
  </si>
  <si>
    <t>ТТК №48</t>
  </si>
  <si>
    <t>Филе индейки тушёное</t>
  </si>
  <si>
    <t>40/40</t>
  </si>
  <si>
    <t>№389-2015г.</t>
  </si>
  <si>
    <t>Сок фруктовый</t>
  </si>
  <si>
    <t>ТТК №25</t>
  </si>
  <si>
    <t>Котлета "Дальневосточная" из минтая и свинины</t>
  </si>
  <si>
    <t>20/20</t>
  </si>
  <si>
    <t>50/5</t>
  </si>
  <si>
    <t>Пряник шоколадный</t>
  </si>
  <si>
    <t>Зефир бело-розовый</t>
  </si>
  <si>
    <t>№410,468-2015г.</t>
  </si>
  <si>
    <t>Ватрушка из дрожжевого теста с фаршем (творожным)</t>
  </si>
  <si>
    <t>Напиток (сладкое блюдо)</t>
  </si>
  <si>
    <t>№45-2015г.</t>
  </si>
  <si>
    <t>Салат из белокочанной капусты</t>
  </si>
  <si>
    <t>ТТК №6</t>
  </si>
  <si>
    <t>Булочка "Рулетик с маком"</t>
  </si>
  <si>
    <t>№342-2015г.</t>
  </si>
  <si>
    <t>Компот из свежих груш</t>
  </si>
  <si>
    <t>Завтрак 5-11 кл с доплатой 70,00 руб. и льготники с доплатой 50,00 руб. 1 смена</t>
  </si>
  <si>
    <t>Обед 6-7 кл. с доплатой 70,00 руб. и льготники с доплатой 50,00 руб. 2-я смена</t>
  </si>
  <si>
    <t>№686-2004г.</t>
  </si>
  <si>
    <t>Чай с лимоном</t>
  </si>
  <si>
    <t>200/15/7</t>
  </si>
  <si>
    <t>Батон пшеничный</t>
  </si>
  <si>
    <t>Печенье "Курабье"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</si>
</sst>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2" fontId="4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2" fontId="3" fillId="0" borderId="13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2" fontId="3" fillId="0" borderId="15" xfId="0" applyNumberFormat="1" applyFont="1" applyBorder="1" applyAlignment="1">
      <alignment vertical="center" wrapText="1"/>
    </xf>
    <xf numFmtId="2" fontId="3" fillId="0" borderId="16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2" fontId="3" fillId="0" borderId="15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2" fontId="4" fillId="0" borderId="2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2" fontId="7" fillId="0" borderId="5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2" fontId="3" fillId="0" borderId="16" xfId="0" applyNumberFormat="1" applyFont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3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3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/>
    <xf numFmtId="4" fontId="3" fillId="0" borderId="5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Font="1"/>
    <xf numFmtId="0" fontId="3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right" vertical="center" wrapText="1"/>
    </xf>
    <xf numFmtId="2" fontId="7" fillId="0" borderId="5" xfId="1" applyNumberFormat="1" applyFont="1" applyBorder="1" applyAlignment="1">
      <alignment horizontal="righ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0" xfId="0" applyFont="1"/>
    <xf numFmtId="0" fontId="9" fillId="0" borderId="5" xfId="1" applyFont="1" applyBorder="1" applyAlignment="1">
      <alignment vertical="center" wrapText="1"/>
    </xf>
    <xf numFmtId="2" fontId="7" fillId="0" borderId="13" xfId="1" applyNumberFormat="1" applyFont="1" applyBorder="1" applyAlignment="1">
      <alignment horizontal="right" vertical="center" wrapText="1"/>
    </xf>
    <xf numFmtId="0" fontId="3" fillId="0" borderId="0" xfId="0" applyFont="1"/>
    <xf numFmtId="4" fontId="3" fillId="0" borderId="10" xfId="0" applyNumberFormat="1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2" fontId="4" fillId="0" borderId="3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3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44" xfId="0" applyFont="1" applyBorder="1" applyAlignment="1">
      <alignment horizontal="right" vertical="center" wrapText="1"/>
    </xf>
    <xf numFmtId="2" fontId="3" fillId="0" borderId="44" xfId="0" applyNumberFormat="1" applyFont="1" applyBorder="1" applyAlignment="1">
      <alignment horizontal="right" vertical="center" wrapText="1"/>
    </xf>
    <xf numFmtId="2" fontId="3" fillId="0" borderId="45" xfId="0" applyNumberFormat="1" applyFont="1" applyBorder="1" applyAlignment="1">
      <alignment horizontal="right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4" workbookViewId="0">
      <selection activeCell="B10" sqref="B10:J14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82" t="s">
        <v>22</v>
      </c>
      <c r="C1" s="83"/>
      <c r="D1" s="1" t="s">
        <v>1</v>
      </c>
      <c r="E1" s="27"/>
      <c r="F1" s="1" t="s">
        <v>2</v>
      </c>
      <c r="G1" s="84">
        <v>44833</v>
      </c>
      <c r="H1" s="85"/>
      <c r="I1" s="85"/>
      <c r="J1" s="86"/>
      <c r="K1" s="1"/>
      <c r="L1" s="1"/>
    </row>
    <row r="2" spans="1:12" ht="15.75" thickBot="1" x14ac:dyDescent="0.3">
      <c r="A2" s="32" t="s">
        <v>3</v>
      </c>
      <c r="B2" s="5" t="s">
        <v>4</v>
      </c>
      <c r="C2" s="33" t="s">
        <v>5</v>
      </c>
      <c r="D2" s="37" t="s">
        <v>6</v>
      </c>
      <c r="E2" s="37" t="s">
        <v>7</v>
      </c>
      <c r="F2" s="37" t="s">
        <v>8</v>
      </c>
      <c r="G2" s="5" t="s">
        <v>9</v>
      </c>
      <c r="H2" s="5" t="s">
        <v>10</v>
      </c>
      <c r="I2" s="5" t="s">
        <v>11</v>
      </c>
      <c r="J2" s="34" t="s">
        <v>12</v>
      </c>
    </row>
    <row r="3" spans="1:12" ht="15" customHeight="1" x14ac:dyDescent="0.25">
      <c r="A3" s="73" t="s">
        <v>27</v>
      </c>
      <c r="B3" s="59" t="s">
        <v>31</v>
      </c>
      <c r="C3" s="48" t="s">
        <v>51</v>
      </c>
      <c r="D3" s="48" t="s">
        <v>52</v>
      </c>
      <c r="E3" s="14" t="s">
        <v>61</v>
      </c>
      <c r="F3" s="14">
        <v>3.99</v>
      </c>
      <c r="G3" s="15">
        <f>928*0.05+40*0</f>
        <v>46.400000000000006</v>
      </c>
      <c r="H3" s="15">
        <f>14.08*0.05+3.1*0</f>
        <v>0.70400000000000007</v>
      </c>
      <c r="I3" s="15">
        <f>60.12*0.05+0.2*0</f>
        <v>3.0060000000000002</v>
      </c>
      <c r="J3" s="16">
        <f>82.6*0.05+6.5*0</f>
        <v>4.13</v>
      </c>
    </row>
    <row r="4" spans="1:12" s="43" customFormat="1" ht="15" customHeight="1" x14ac:dyDescent="0.25">
      <c r="A4" s="73"/>
      <c r="B4" s="8" t="s">
        <v>13</v>
      </c>
      <c r="C4" s="6" t="s">
        <v>58</v>
      </c>
      <c r="D4" s="64" t="s">
        <v>59</v>
      </c>
      <c r="E4" s="17">
        <v>75</v>
      </c>
      <c r="F4" s="7">
        <v>36.81</v>
      </c>
      <c r="G4" s="25">
        <f>197.7</f>
        <v>197.7</v>
      </c>
      <c r="H4" s="51">
        <f>8.9</f>
        <v>8.9</v>
      </c>
      <c r="I4" s="51">
        <f>12.4</f>
        <v>12.4</v>
      </c>
      <c r="J4" s="55">
        <f>12.6</f>
        <v>12.6</v>
      </c>
    </row>
    <row r="5" spans="1:12" s="53" customFormat="1" ht="15.75" x14ac:dyDescent="0.25">
      <c r="A5" s="73"/>
      <c r="B5" s="8" t="s">
        <v>17</v>
      </c>
      <c r="C5" s="52" t="s">
        <v>43</v>
      </c>
      <c r="D5" s="54" t="s">
        <v>42</v>
      </c>
      <c r="E5" s="17">
        <v>150</v>
      </c>
      <c r="F5" s="7">
        <v>14.18</v>
      </c>
      <c r="G5" s="51">
        <f>915*0.15</f>
        <v>137.25</v>
      </c>
      <c r="H5" s="51">
        <f>20.43*0.15</f>
        <v>3.0644999999999998</v>
      </c>
      <c r="I5" s="51">
        <f>32.01*0.15</f>
        <v>4.8014999999999999</v>
      </c>
      <c r="J5" s="55">
        <f>136.26*0.15</f>
        <v>20.438999999999997</v>
      </c>
      <c r="K5"/>
    </row>
    <row r="6" spans="1:12" s="29" customFormat="1" x14ac:dyDescent="0.25">
      <c r="A6" s="73"/>
      <c r="B6" s="8" t="s">
        <v>49</v>
      </c>
      <c r="C6" s="6" t="s">
        <v>56</v>
      </c>
      <c r="D6" s="6" t="s">
        <v>57</v>
      </c>
      <c r="E6" s="17">
        <v>200</v>
      </c>
      <c r="F6" s="7">
        <v>21.71</v>
      </c>
      <c r="G6" s="7">
        <v>104</v>
      </c>
      <c r="H6" s="7">
        <v>0.6</v>
      </c>
      <c r="I6" s="7">
        <v>0.2</v>
      </c>
      <c r="J6" s="9">
        <v>23.6</v>
      </c>
      <c r="K6"/>
    </row>
    <row r="7" spans="1:12" s="53" customFormat="1" x14ac:dyDescent="0.25">
      <c r="A7" s="73"/>
      <c r="B7" s="8" t="s">
        <v>39</v>
      </c>
      <c r="C7" s="6" t="s">
        <v>40</v>
      </c>
      <c r="D7" s="6" t="s">
        <v>62</v>
      </c>
      <c r="E7" s="66">
        <v>88</v>
      </c>
      <c r="F7" s="58">
        <v>19.34</v>
      </c>
      <c r="G7" s="44">
        <f>350*0.88</f>
        <v>308</v>
      </c>
      <c r="H7" s="44">
        <f>5*0.88</f>
        <v>4.4000000000000004</v>
      </c>
      <c r="I7" s="44">
        <f>6*0.88</f>
        <v>5.28</v>
      </c>
      <c r="J7" s="45">
        <f>69*0.88</f>
        <v>60.72</v>
      </c>
      <c r="K7"/>
    </row>
    <row r="8" spans="1:12" s="39" customFormat="1" ht="15.75" thickBot="1" x14ac:dyDescent="0.3">
      <c r="A8" s="73"/>
      <c r="B8" s="10" t="s">
        <v>14</v>
      </c>
      <c r="C8" s="11" t="s">
        <v>32</v>
      </c>
      <c r="D8" s="11" t="s">
        <v>33</v>
      </c>
      <c r="E8" s="18">
        <v>25.5</v>
      </c>
      <c r="F8" s="19">
        <v>1.1200000000000001</v>
      </c>
      <c r="G8" s="19">
        <f>229.7*0.255</f>
        <v>58.573499999999996</v>
      </c>
      <c r="H8" s="12">
        <f>6.7*0.255</f>
        <v>1.7085000000000001</v>
      </c>
      <c r="I8" s="12">
        <f>1.1*0.255</f>
        <v>0.28050000000000003</v>
      </c>
      <c r="J8" s="13">
        <f>48.3*0.255</f>
        <v>12.3165</v>
      </c>
    </row>
    <row r="9" spans="1:12" ht="16.5" thickBot="1" x14ac:dyDescent="0.3">
      <c r="A9" s="90" t="s">
        <v>15</v>
      </c>
      <c r="B9" s="91"/>
      <c r="C9" s="91"/>
      <c r="D9" s="91"/>
      <c r="E9" s="92"/>
      <c r="F9" s="65">
        <f>SUM(F3:F8)</f>
        <v>97.15</v>
      </c>
      <c r="G9" s="65">
        <f>SUM(G3:G8)</f>
        <v>851.92349999999999</v>
      </c>
      <c r="H9" s="65">
        <f>SUM(H3:H8)</f>
        <v>19.377000000000002</v>
      </c>
      <c r="I9" s="65">
        <f>SUM(I3:I8)</f>
        <v>25.968</v>
      </c>
      <c r="J9" s="65">
        <f>SUM(J3:J8)</f>
        <v>133.80549999999999</v>
      </c>
    </row>
    <row r="10" spans="1:12" ht="30" x14ac:dyDescent="0.25">
      <c r="A10" s="93" t="s">
        <v>28</v>
      </c>
      <c r="B10" s="21" t="s">
        <v>16</v>
      </c>
      <c r="C10" s="22" t="s">
        <v>46</v>
      </c>
      <c r="D10" s="22" t="s">
        <v>47</v>
      </c>
      <c r="E10" s="14" t="s">
        <v>44</v>
      </c>
      <c r="F10" s="15">
        <v>12.24</v>
      </c>
      <c r="G10" s="15">
        <f>415*0.25+162*0.1</f>
        <v>119.95</v>
      </c>
      <c r="H10" s="15">
        <f>7.21*0.25+2.6*0.1</f>
        <v>2.0625</v>
      </c>
      <c r="I10" s="15">
        <f>19.68*0.25+15*0.1</f>
        <v>6.42</v>
      </c>
      <c r="J10" s="16">
        <f>43.73*0.25+3.6*0.1</f>
        <v>11.292499999999999</v>
      </c>
      <c r="K10"/>
    </row>
    <row r="11" spans="1:12" x14ac:dyDescent="0.25">
      <c r="A11" s="93"/>
      <c r="B11" s="8" t="s">
        <v>13</v>
      </c>
      <c r="C11" s="6" t="s">
        <v>53</v>
      </c>
      <c r="D11" s="6" t="s">
        <v>54</v>
      </c>
      <c r="E11" s="17" t="s">
        <v>60</v>
      </c>
      <c r="F11" s="7">
        <v>17.89</v>
      </c>
      <c r="G11" s="25">
        <f>151.2*0.4</f>
        <v>60.48</v>
      </c>
      <c r="H11" s="25">
        <f>15.6*0.4</f>
        <v>6.24</v>
      </c>
      <c r="I11" s="25">
        <f>8.4*0.4</f>
        <v>3.3600000000000003</v>
      </c>
      <c r="J11" s="26">
        <f>3.3*0.4</f>
        <v>1.32</v>
      </c>
      <c r="K11"/>
    </row>
    <row r="12" spans="1:12" s="53" customFormat="1" ht="15" customHeight="1" x14ac:dyDescent="0.25">
      <c r="A12" s="93"/>
      <c r="B12" s="8" t="s">
        <v>17</v>
      </c>
      <c r="C12" s="6" t="s">
        <v>38</v>
      </c>
      <c r="D12" s="6" t="s">
        <v>45</v>
      </c>
      <c r="E12" s="17">
        <v>100</v>
      </c>
      <c r="F12" s="7">
        <v>9.56</v>
      </c>
      <c r="G12" s="60">
        <f>112.3*1</f>
        <v>112.3</v>
      </c>
      <c r="H12" s="60">
        <f>3.68*1</f>
        <v>3.68</v>
      </c>
      <c r="I12" s="60">
        <f>3.01*1</f>
        <v>3.01</v>
      </c>
      <c r="J12" s="61">
        <f>17.63*1</f>
        <v>17.63</v>
      </c>
    </row>
    <row r="13" spans="1:12" s="29" customFormat="1" x14ac:dyDescent="0.25">
      <c r="A13" s="93"/>
      <c r="B13" s="8" t="s">
        <v>18</v>
      </c>
      <c r="C13" s="6" t="s">
        <v>19</v>
      </c>
      <c r="D13" s="6" t="s">
        <v>20</v>
      </c>
      <c r="E13" s="17" t="s">
        <v>34</v>
      </c>
      <c r="F13" s="7">
        <v>2.2599999999999998</v>
      </c>
      <c r="G13" s="7">
        <v>60</v>
      </c>
      <c r="H13" s="7">
        <v>7.0000000000000007E-2</v>
      </c>
      <c r="I13" s="7">
        <v>0.02</v>
      </c>
      <c r="J13" s="9">
        <v>15</v>
      </c>
    </row>
    <row r="14" spans="1:12" ht="15.75" thickBot="1" x14ac:dyDescent="0.3">
      <c r="A14" s="93"/>
      <c r="B14" s="10" t="s">
        <v>14</v>
      </c>
      <c r="C14" s="11" t="s">
        <v>32</v>
      </c>
      <c r="D14" s="11" t="s">
        <v>33</v>
      </c>
      <c r="E14" s="18">
        <v>8</v>
      </c>
      <c r="F14" s="19">
        <v>0.34</v>
      </c>
      <c r="G14" s="19">
        <f>229.7*0.08</f>
        <v>18.376000000000001</v>
      </c>
      <c r="H14" s="12">
        <f>6.7*0.08</f>
        <v>0.53600000000000003</v>
      </c>
      <c r="I14" s="12">
        <f>1.1*0.08</f>
        <v>8.8000000000000009E-2</v>
      </c>
      <c r="J14" s="13">
        <f>48.3*0.08</f>
        <v>3.8639999999999999</v>
      </c>
    </row>
    <row r="15" spans="1:12" ht="16.5" thickBot="1" x14ac:dyDescent="0.3">
      <c r="A15" s="94" t="s">
        <v>15</v>
      </c>
      <c r="B15" s="91"/>
      <c r="C15" s="91"/>
      <c r="D15" s="91"/>
      <c r="E15" s="95"/>
      <c r="F15" s="20">
        <f>SUM(F10:F14)</f>
        <v>42.290000000000006</v>
      </c>
      <c r="G15" s="20">
        <f t="shared" ref="G15:J15" si="0">SUM(G10:G14)</f>
        <v>371.10599999999999</v>
      </c>
      <c r="H15" s="20">
        <f t="shared" si="0"/>
        <v>12.5885</v>
      </c>
      <c r="I15" s="20">
        <f t="shared" si="0"/>
        <v>12.898</v>
      </c>
      <c r="J15" s="20">
        <f t="shared" si="0"/>
        <v>49.106499999999997</v>
      </c>
    </row>
    <row r="16" spans="1:12" s="53" customFormat="1" ht="15.75" x14ac:dyDescent="0.25">
      <c r="A16" s="79" t="s">
        <v>29</v>
      </c>
      <c r="B16" s="49" t="s">
        <v>31</v>
      </c>
      <c r="C16" s="48" t="s">
        <v>41</v>
      </c>
      <c r="D16" s="48" t="s">
        <v>48</v>
      </c>
      <c r="E16" s="14">
        <v>25</v>
      </c>
      <c r="F16" s="15">
        <v>2.21</v>
      </c>
      <c r="G16" s="15">
        <f>11/50*25</f>
        <v>5.5</v>
      </c>
      <c r="H16" s="15">
        <f>0.55/50*25</f>
        <v>0.27500000000000002</v>
      </c>
      <c r="I16" s="15">
        <f>0.1/50*25</f>
        <v>0.05</v>
      </c>
      <c r="J16" s="16">
        <f>1.9/50*25</f>
        <v>0.95</v>
      </c>
    </row>
    <row r="17" spans="1:11" s="38" customFormat="1" ht="30" x14ac:dyDescent="0.25">
      <c r="A17" s="80"/>
      <c r="B17" s="8" t="s">
        <v>16</v>
      </c>
      <c r="C17" s="6" t="s">
        <v>46</v>
      </c>
      <c r="D17" s="6" t="s">
        <v>47</v>
      </c>
      <c r="E17" s="17" t="s">
        <v>44</v>
      </c>
      <c r="F17" s="7">
        <v>12.24</v>
      </c>
      <c r="G17" s="7">
        <f>415*0.25+162*0.1</f>
        <v>119.95</v>
      </c>
      <c r="H17" s="7">
        <f>7.21*0.25+2.6*0.1</f>
        <v>2.0625</v>
      </c>
      <c r="I17" s="7">
        <f>19.68*0.25+15*0.1</f>
        <v>6.42</v>
      </c>
      <c r="J17" s="9">
        <f>43.73*0.25+3.6*0.1</f>
        <v>11.292499999999999</v>
      </c>
    </row>
    <row r="18" spans="1:11" s="46" customFormat="1" x14ac:dyDescent="0.25">
      <c r="A18" s="80"/>
      <c r="B18" s="8" t="s">
        <v>13</v>
      </c>
      <c r="C18" s="6" t="s">
        <v>53</v>
      </c>
      <c r="D18" s="6" t="s">
        <v>54</v>
      </c>
      <c r="E18" s="17" t="s">
        <v>55</v>
      </c>
      <c r="F18" s="7">
        <v>35.78</v>
      </c>
      <c r="G18" s="25">
        <f>151.2*0.8</f>
        <v>120.96</v>
      </c>
      <c r="H18" s="25">
        <f>15.6*0.8</f>
        <v>12.48</v>
      </c>
      <c r="I18" s="25">
        <f>8.4*0.8</f>
        <v>6.7200000000000006</v>
      </c>
      <c r="J18" s="26">
        <f>3.3*0.8</f>
        <v>2.64</v>
      </c>
      <c r="K18"/>
    </row>
    <row r="19" spans="1:11" s="53" customFormat="1" ht="15" customHeight="1" x14ac:dyDescent="0.25">
      <c r="A19" s="80"/>
      <c r="B19" s="8" t="s">
        <v>17</v>
      </c>
      <c r="C19" s="6" t="s">
        <v>38</v>
      </c>
      <c r="D19" s="6" t="s">
        <v>45</v>
      </c>
      <c r="E19" s="17">
        <v>100</v>
      </c>
      <c r="F19" s="7">
        <v>9.56</v>
      </c>
      <c r="G19" s="60">
        <f>112.3*1</f>
        <v>112.3</v>
      </c>
      <c r="H19" s="60">
        <f>3.68*1</f>
        <v>3.68</v>
      </c>
      <c r="I19" s="60">
        <f>3.01*1</f>
        <v>3.01</v>
      </c>
      <c r="J19" s="61">
        <f>17.63*1</f>
        <v>17.63</v>
      </c>
    </row>
    <row r="20" spans="1:11" s="35" customFormat="1" x14ac:dyDescent="0.25">
      <c r="A20" s="80"/>
      <c r="B20" s="8" t="s">
        <v>49</v>
      </c>
      <c r="C20" s="6" t="s">
        <v>56</v>
      </c>
      <c r="D20" s="6" t="s">
        <v>57</v>
      </c>
      <c r="E20" s="17">
        <v>200</v>
      </c>
      <c r="F20" s="7">
        <v>21.71</v>
      </c>
      <c r="G20" s="7">
        <v>104</v>
      </c>
      <c r="H20" s="7">
        <v>0.6</v>
      </c>
      <c r="I20" s="7">
        <v>0.2</v>
      </c>
      <c r="J20" s="9">
        <v>23.6</v>
      </c>
    </row>
    <row r="21" spans="1:11" s="56" customFormat="1" x14ac:dyDescent="0.25">
      <c r="A21" s="80"/>
      <c r="B21" s="114" t="s">
        <v>39</v>
      </c>
      <c r="C21" s="115" t="s">
        <v>40</v>
      </c>
      <c r="D21" s="115" t="s">
        <v>63</v>
      </c>
      <c r="E21" s="116">
        <v>58</v>
      </c>
      <c r="F21" s="117">
        <v>15.02</v>
      </c>
      <c r="G21" s="117">
        <v>191.4</v>
      </c>
      <c r="H21" s="117">
        <v>0.57999999999999996</v>
      </c>
      <c r="I21" s="117">
        <v>0</v>
      </c>
      <c r="J21" s="118">
        <v>46.98</v>
      </c>
    </row>
    <row r="22" spans="1:11" s="35" customFormat="1" ht="15.75" thickBot="1" x14ac:dyDescent="0.3">
      <c r="A22" s="81"/>
      <c r="B22" s="10" t="s">
        <v>14</v>
      </c>
      <c r="C22" s="11" t="s">
        <v>32</v>
      </c>
      <c r="D22" s="11" t="s">
        <v>33</v>
      </c>
      <c r="E22" s="18">
        <v>14.5</v>
      </c>
      <c r="F22" s="19">
        <v>0.63</v>
      </c>
      <c r="G22" s="19">
        <f>229.7*0.145</f>
        <v>33.306499999999993</v>
      </c>
      <c r="H22" s="12">
        <f>6.7*0.145</f>
        <v>0.97149999999999992</v>
      </c>
      <c r="I22" s="12">
        <f>1.1*0.145</f>
        <v>0.1595</v>
      </c>
      <c r="J22" s="13">
        <f>48.3*0.145</f>
        <v>7.0034999999999989</v>
      </c>
    </row>
    <row r="23" spans="1:11" s="30" customFormat="1" ht="16.5" thickBot="1" x14ac:dyDescent="0.3">
      <c r="A23" s="90" t="s">
        <v>15</v>
      </c>
      <c r="B23" s="91"/>
      <c r="C23" s="91"/>
      <c r="D23" s="91"/>
      <c r="E23" s="92"/>
      <c r="F23" s="20">
        <f>SUM(F16:F22)</f>
        <v>97.149999999999991</v>
      </c>
      <c r="G23" s="20">
        <f>SUM(G16:G22)</f>
        <v>687.41650000000004</v>
      </c>
      <c r="H23" s="20">
        <f>SUM(H16:H22)</f>
        <v>20.649000000000001</v>
      </c>
      <c r="I23" s="20">
        <f>SUM(I16:I22)</f>
        <v>16.559500000000003</v>
      </c>
      <c r="J23" s="20">
        <f>SUM(J16:J22)</f>
        <v>110.096</v>
      </c>
      <c r="K23"/>
    </row>
    <row r="24" spans="1:11" s="46" customFormat="1" x14ac:dyDescent="0.25">
      <c r="A24" s="74" t="s">
        <v>30</v>
      </c>
      <c r="B24" s="21" t="s">
        <v>49</v>
      </c>
      <c r="C24" s="22" t="s">
        <v>56</v>
      </c>
      <c r="D24" s="22" t="s">
        <v>57</v>
      </c>
      <c r="E24" s="50" t="s">
        <v>50</v>
      </c>
      <c r="F24" s="62">
        <v>21.71</v>
      </c>
      <c r="G24" s="57">
        <v>104</v>
      </c>
      <c r="H24" s="15">
        <v>0.6</v>
      </c>
      <c r="I24" s="15">
        <v>0.2</v>
      </c>
      <c r="J24" s="16">
        <v>23.6</v>
      </c>
      <c r="K24"/>
    </row>
    <row r="25" spans="1:11" s="53" customFormat="1" ht="32.25" customHeight="1" thickBot="1" x14ac:dyDescent="0.3">
      <c r="A25" s="75"/>
      <c r="B25" s="10" t="s">
        <v>21</v>
      </c>
      <c r="C25" s="63" t="s">
        <v>64</v>
      </c>
      <c r="D25" s="11" t="s">
        <v>65</v>
      </c>
      <c r="E25" s="18">
        <v>95</v>
      </c>
      <c r="F25" s="19">
        <v>20.58</v>
      </c>
      <c r="G25" s="19">
        <v>255.87</v>
      </c>
      <c r="H25" s="19">
        <v>11.68</v>
      </c>
      <c r="I25" s="19">
        <v>6.94</v>
      </c>
      <c r="J25" s="31">
        <v>36.96</v>
      </c>
    </row>
    <row r="26" spans="1:11" s="46" customFormat="1" ht="16.5" thickBot="1" x14ac:dyDescent="0.3">
      <c r="A26" s="76" t="s">
        <v>15</v>
      </c>
      <c r="B26" s="77"/>
      <c r="C26" s="77"/>
      <c r="D26" s="77"/>
      <c r="E26" s="78"/>
      <c r="F26" s="3">
        <f>SUM(F24:F25)</f>
        <v>42.29</v>
      </c>
      <c r="G26" s="3">
        <f>SUM(G24:G25)</f>
        <v>359.87</v>
      </c>
      <c r="H26" s="3">
        <f>SUM(H24:H25)</f>
        <v>12.28</v>
      </c>
      <c r="I26" s="3">
        <f>SUM(I24:I25)</f>
        <v>7.1400000000000006</v>
      </c>
      <c r="J26" s="3">
        <f>SUM(J24:J25)</f>
        <v>60.56</v>
      </c>
      <c r="K26"/>
    </row>
    <row r="28" spans="1:11" ht="15.75" thickBot="1" x14ac:dyDescent="0.3">
      <c r="A28" s="88" t="s">
        <v>25</v>
      </c>
      <c r="B28" s="88"/>
      <c r="C28" s="88"/>
      <c r="D28" s="88"/>
      <c r="E28" s="88"/>
      <c r="F28" s="88"/>
      <c r="G28" s="88"/>
      <c r="H28" s="88"/>
      <c r="I28" s="88"/>
      <c r="J28" s="88"/>
    </row>
    <row r="29" spans="1:11" ht="15.75" x14ac:dyDescent="0.25">
      <c r="A29" s="24"/>
      <c r="B29" s="24"/>
      <c r="C29" s="87" t="s">
        <v>23</v>
      </c>
      <c r="D29" s="87"/>
      <c r="G29" s="89"/>
      <c r="H29" s="89"/>
      <c r="I29" s="89"/>
      <c r="J29" s="89"/>
    </row>
    <row r="30" spans="1:11" x14ac:dyDescent="0.25">
      <c r="A30" s="1"/>
      <c r="B30" s="1"/>
      <c r="C30" s="1"/>
      <c r="D30" s="1"/>
    </row>
    <row r="31" spans="1:11" x14ac:dyDescent="0.25">
      <c r="A31" s="72" t="s">
        <v>24</v>
      </c>
      <c r="B31" s="72"/>
    </row>
    <row r="32" spans="1:11" x14ac:dyDescent="0.25">
      <c r="A32" s="72" t="s">
        <v>26</v>
      </c>
      <c r="B32" s="72"/>
    </row>
    <row r="33" spans="1:1" x14ac:dyDescent="0.25">
      <c r="A33" s="4"/>
    </row>
  </sheetData>
  <mergeCells count="15">
    <mergeCell ref="B1:C1"/>
    <mergeCell ref="G1:J1"/>
    <mergeCell ref="C29:D29"/>
    <mergeCell ref="A28:J28"/>
    <mergeCell ref="G29:J29"/>
    <mergeCell ref="A9:E9"/>
    <mergeCell ref="A10:A14"/>
    <mergeCell ref="A15:E15"/>
    <mergeCell ref="A23:E23"/>
    <mergeCell ref="A31:B31"/>
    <mergeCell ref="A32:B32"/>
    <mergeCell ref="A3:A8"/>
    <mergeCell ref="A24:A25"/>
    <mergeCell ref="A26:E26"/>
    <mergeCell ref="A16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9" workbookViewId="0">
      <selection activeCell="B6" sqref="A6:XFD6"/>
    </sheetView>
  </sheetViews>
  <sheetFormatPr defaultRowHeight="15" x14ac:dyDescent="0.25"/>
  <cols>
    <col min="1" max="1" width="23.85546875" style="71" customWidth="1"/>
    <col min="2" max="2" width="24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67" t="s">
        <v>0</v>
      </c>
      <c r="B1" s="107" t="s">
        <v>22</v>
      </c>
      <c r="C1" s="108"/>
      <c r="D1" s="1" t="s">
        <v>1</v>
      </c>
      <c r="E1" s="27"/>
      <c r="F1" s="1" t="s">
        <v>2</v>
      </c>
      <c r="G1" s="84">
        <v>44833</v>
      </c>
      <c r="H1" s="85"/>
      <c r="I1" s="85"/>
      <c r="J1" s="86"/>
      <c r="K1" s="1"/>
      <c r="L1" s="1"/>
    </row>
    <row r="2" spans="1:12" ht="15.75" thickBot="1" x14ac:dyDescent="0.3">
      <c r="A2" s="68" t="s">
        <v>3</v>
      </c>
      <c r="B2" s="40" t="s">
        <v>4</v>
      </c>
      <c r="C2" s="41" t="s">
        <v>5</v>
      </c>
      <c r="D2" s="41" t="s">
        <v>6</v>
      </c>
      <c r="E2" s="41" t="s">
        <v>7</v>
      </c>
      <c r="F2" s="41" t="s">
        <v>8</v>
      </c>
      <c r="G2" s="41" t="s">
        <v>9</v>
      </c>
      <c r="H2" s="41" t="s">
        <v>10</v>
      </c>
      <c r="I2" s="41" t="s">
        <v>11</v>
      </c>
      <c r="J2" s="42" t="s">
        <v>12</v>
      </c>
    </row>
    <row r="3" spans="1:12" s="53" customFormat="1" ht="15.75" x14ac:dyDescent="0.25">
      <c r="A3" s="111" t="s">
        <v>73</v>
      </c>
      <c r="B3" s="49" t="s">
        <v>31</v>
      </c>
      <c r="C3" s="48" t="s">
        <v>67</v>
      </c>
      <c r="D3" s="48" t="s">
        <v>68</v>
      </c>
      <c r="E3" s="14">
        <v>75</v>
      </c>
      <c r="F3" s="15">
        <v>4.51</v>
      </c>
      <c r="G3" s="15">
        <f>604*0.075</f>
        <v>45.3</v>
      </c>
      <c r="H3" s="15">
        <f>13.12*0.075</f>
        <v>0.98399999999999987</v>
      </c>
      <c r="I3" s="15">
        <f>32.49*0.075</f>
        <v>2.43675</v>
      </c>
      <c r="J3" s="16">
        <f>64.66*0.075</f>
        <v>4.8494999999999999</v>
      </c>
    </row>
    <row r="4" spans="1:12" ht="31.5" customHeight="1" x14ac:dyDescent="0.25">
      <c r="A4" s="112"/>
      <c r="B4" s="8" t="s">
        <v>13</v>
      </c>
      <c r="C4" s="6" t="s">
        <v>58</v>
      </c>
      <c r="D4" s="64" t="s">
        <v>59</v>
      </c>
      <c r="E4" s="17">
        <v>75</v>
      </c>
      <c r="F4" s="7">
        <v>36.81</v>
      </c>
      <c r="G4" s="25">
        <f>197.7</f>
        <v>197.7</v>
      </c>
      <c r="H4" s="51">
        <f>8.9</f>
        <v>8.9</v>
      </c>
      <c r="I4" s="51">
        <f>12.4</f>
        <v>12.4</v>
      </c>
      <c r="J4" s="55">
        <f>12.6</f>
        <v>12.6</v>
      </c>
    </row>
    <row r="5" spans="1:12" s="39" customFormat="1" ht="15.75" x14ac:dyDescent="0.25">
      <c r="A5" s="112"/>
      <c r="B5" s="8" t="s">
        <v>17</v>
      </c>
      <c r="C5" s="52" t="s">
        <v>43</v>
      </c>
      <c r="D5" s="54" t="s">
        <v>42</v>
      </c>
      <c r="E5" s="17">
        <v>150</v>
      </c>
      <c r="F5" s="7">
        <v>14.18</v>
      </c>
      <c r="G5" s="51">
        <f>915*0.15</f>
        <v>137.25</v>
      </c>
      <c r="H5" s="51">
        <f>20.43*0.15</f>
        <v>3.0644999999999998</v>
      </c>
      <c r="I5" s="51">
        <f>32.01*0.15</f>
        <v>4.8014999999999999</v>
      </c>
      <c r="J5" s="55">
        <f>136.26*0.15</f>
        <v>20.438999999999997</v>
      </c>
    </row>
    <row r="6" spans="1:12" s="43" customFormat="1" ht="16.5" customHeight="1" x14ac:dyDescent="0.25">
      <c r="A6" s="112"/>
      <c r="B6" s="8" t="s">
        <v>66</v>
      </c>
      <c r="C6" s="6" t="s">
        <v>71</v>
      </c>
      <c r="D6" s="6" t="s">
        <v>72</v>
      </c>
      <c r="E6" s="17">
        <v>200</v>
      </c>
      <c r="F6" s="7">
        <v>11.84</v>
      </c>
      <c r="G6" s="7">
        <v>114.6</v>
      </c>
      <c r="H6" s="7">
        <v>0.16</v>
      </c>
      <c r="I6" s="7">
        <v>0.12</v>
      </c>
      <c r="J6" s="9">
        <v>28.08</v>
      </c>
    </row>
    <row r="7" spans="1:12" s="53" customFormat="1" x14ac:dyDescent="0.25">
      <c r="A7" s="112"/>
      <c r="B7" s="8" t="s">
        <v>21</v>
      </c>
      <c r="C7" s="6" t="s">
        <v>69</v>
      </c>
      <c r="D7" s="6" t="s">
        <v>70</v>
      </c>
      <c r="E7" s="17">
        <v>50</v>
      </c>
      <c r="F7" s="7">
        <v>7.43</v>
      </c>
      <c r="G7" s="44">
        <v>198.6</v>
      </c>
      <c r="H7" s="44">
        <v>4.0999999999999996</v>
      </c>
      <c r="I7" s="44">
        <v>7.7</v>
      </c>
      <c r="J7" s="45">
        <v>28.2</v>
      </c>
      <c r="K7"/>
    </row>
    <row r="8" spans="1:12" ht="15.75" thickBot="1" x14ac:dyDescent="0.3">
      <c r="A8" s="113"/>
      <c r="B8" s="10" t="s">
        <v>14</v>
      </c>
      <c r="C8" s="11" t="s">
        <v>32</v>
      </c>
      <c r="D8" s="11" t="s">
        <v>33</v>
      </c>
      <c r="E8" s="18">
        <v>51</v>
      </c>
      <c r="F8" s="19">
        <v>2.23</v>
      </c>
      <c r="G8" s="19">
        <f>229.7*0.51</f>
        <v>117.14699999999999</v>
      </c>
      <c r="H8" s="12">
        <f>6.7*0.51</f>
        <v>3.4170000000000003</v>
      </c>
      <c r="I8" s="12">
        <f>1.1*0.51</f>
        <v>0.56100000000000005</v>
      </c>
      <c r="J8" s="13">
        <f>48.3*0.51</f>
        <v>24.632999999999999</v>
      </c>
    </row>
    <row r="9" spans="1:12" ht="16.5" thickBot="1" x14ac:dyDescent="0.3">
      <c r="A9" s="109" t="s">
        <v>15</v>
      </c>
      <c r="B9" s="91"/>
      <c r="C9" s="91"/>
      <c r="D9" s="91"/>
      <c r="E9" s="95"/>
      <c r="F9" s="20">
        <f>SUM(F3:F8)</f>
        <v>77.000000000000014</v>
      </c>
      <c r="G9" s="20">
        <f t="shared" ref="G9:J9" si="0">SUM(G3:G8)</f>
        <v>810.59699999999998</v>
      </c>
      <c r="H9" s="20">
        <f t="shared" si="0"/>
        <v>20.625500000000002</v>
      </c>
      <c r="I9" s="20">
        <f t="shared" si="0"/>
        <v>28.01925</v>
      </c>
      <c r="J9" s="20">
        <f t="shared" si="0"/>
        <v>118.80149999999999</v>
      </c>
    </row>
    <row r="10" spans="1:12" s="53" customFormat="1" ht="15.75" x14ac:dyDescent="0.25">
      <c r="A10" s="96" t="s">
        <v>35</v>
      </c>
      <c r="B10" s="49" t="s">
        <v>31</v>
      </c>
      <c r="C10" s="48" t="s">
        <v>67</v>
      </c>
      <c r="D10" s="48" t="s">
        <v>68</v>
      </c>
      <c r="E10" s="14">
        <v>100</v>
      </c>
      <c r="F10" s="15">
        <v>6.01</v>
      </c>
      <c r="G10" s="15">
        <f>604*0.1</f>
        <v>60.400000000000006</v>
      </c>
      <c r="H10" s="15">
        <f>13.12*0.1</f>
        <v>1.3120000000000001</v>
      </c>
      <c r="I10" s="15">
        <f>32.49*0.1</f>
        <v>3.2490000000000006</v>
      </c>
      <c r="J10" s="16">
        <f>64.66*0.1</f>
        <v>6.4660000000000002</v>
      </c>
    </row>
    <row r="11" spans="1:12" s="53" customFormat="1" ht="15.75" x14ac:dyDescent="0.25">
      <c r="A11" s="97"/>
      <c r="B11" s="8" t="s">
        <v>17</v>
      </c>
      <c r="C11" s="52" t="s">
        <v>43</v>
      </c>
      <c r="D11" s="54" t="s">
        <v>42</v>
      </c>
      <c r="E11" s="17">
        <v>150</v>
      </c>
      <c r="F11" s="7">
        <v>14.18</v>
      </c>
      <c r="G11" s="51">
        <f>915*0.15</f>
        <v>137.25</v>
      </c>
      <c r="H11" s="51">
        <f>20.43*0.15</f>
        <v>3.0644999999999998</v>
      </c>
      <c r="I11" s="51">
        <f>32.01*0.15</f>
        <v>4.8014999999999999</v>
      </c>
      <c r="J11" s="55">
        <f>136.26*0.15</f>
        <v>20.438999999999997</v>
      </c>
    </row>
    <row r="12" spans="1:12" s="28" customFormat="1" x14ac:dyDescent="0.25">
      <c r="A12" s="97"/>
      <c r="B12" s="8" t="s">
        <v>18</v>
      </c>
      <c r="C12" s="6" t="s">
        <v>75</v>
      </c>
      <c r="D12" s="6" t="s">
        <v>76</v>
      </c>
      <c r="E12" s="17" t="s">
        <v>77</v>
      </c>
      <c r="F12" s="7">
        <v>3.65</v>
      </c>
      <c r="G12" s="7">
        <v>62</v>
      </c>
      <c r="H12" s="7">
        <v>0.13</v>
      </c>
      <c r="I12" s="7">
        <v>0.02</v>
      </c>
      <c r="J12" s="9">
        <v>15.2</v>
      </c>
    </row>
    <row r="13" spans="1:12" s="30" customFormat="1" ht="15.75" thickBot="1" x14ac:dyDescent="0.3">
      <c r="A13" s="98"/>
      <c r="B13" s="10" t="s">
        <v>14</v>
      </c>
      <c r="C13" s="11" t="s">
        <v>40</v>
      </c>
      <c r="D13" s="11" t="s">
        <v>78</v>
      </c>
      <c r="E13" s="18">
        <v>23</v>
      </c>
      <c r="F13" s="19">
        <v>3.16</v>
      </c>
      <c r="G13" s="19">
        <f>280*0.23</f>
        <v>64.400000000000006</v>
      </c>
      <c r="H13" s="12">
        <f>8*0.23</f>
        <v>1.84</v>
      </c>
      <c r="I13" s="12">
        <f>3*0.23</f>
        <v>0.69000000000000006</v>
      </c>
      <c r="J13" s="13">
        <f>54*0.23</f>
        <v>12.42</v>
      </c>
    </row>
    <row r="14" spans="1:12" ht="16.5" thickBot="1" x14ac:dyDescent="0.3">
      <c r="A14" s="99" t="s">
        <v>15</v>
      </c>
      <c r="B14" s="91"/>
      <c r="C14" s="91"/>
      <c r="D14" s="91"/>
      <c r="E14" s="95"/>
      <c r="F14" s="20">
        <f>SUM(F10:F13)</f>
        <v>26.999999999999996</v>
      </c>
      <c r="G14" s="20">
        <f>SUM(G10:G13)</f>
        <v>324.04999999999995</v>
      </c>
      <c r="H14" s="20">
        <f>SUM(H10:H13)</f>
        <v>6.3464999999999998</v>
      </c>
      <c r="I14" s="20">
        <f>SUM(I10:I13)</f>
        <v>8.7604999999999986</v>
      </c>
      <c r="J14" s="20">
        <f>SUM(J10:J13)</f>
        <v>54.524999999999999</v>
      </c>
    </row>
    <row r="15" spans="1:12" s="29" customFormat="1" x14ac:dyDescent="0.25">
      <c r="A15" s="100" t="s">
        <v>36</v>
      </c>
      <c r="B15" s="21" t="s">
        <v>18</v>
      </c>
      <c r="C15" s="22" t="s">
        <v>19</v>
      </c>
      <c r="D15" s="22" t="s">
        <v>20</v>
      </c>
      <c r="E15" s="14" t="s">
        <v>34</v>
      </c>
      <c r="F15" s="15">
        <v>2.2599999999999998</v>
      </c>
      <c r="G15" s="15">
        <v>60</v>
      </c>
      <c r="H15" s="15">
        <v>7.0000000000000007E-2</v>
      </c>
      <c r="I15" s="15">
        <v>0.02</v>
      </c>
      <c r="J15" s="16">
        <v>15</v>
      </c>
    </row>
    <row r="16" spans="1:12" s="29" customFormat="1" ht="50.25" customHeight="1" thickBot="1" x14ac:dyDescent="0.3">
      <c r="A16" s="101"/>
      <c r="B16" s="10" t="s">
        <v>39</v>
      </c>
      <c r="C16" s="11" t="s">
        <v>40</v>
      </c>
      <c r="D16" s="11" t="s">
        <v>79</v>
      </c>
      <c r="E16" s="18">
        <v>17</v>
      </c>
      <c r="F16" s="19">
        <v>4.74</v>
      </c>
      <c r="G16" s="19">
        <v>83.3</v>
      </c>
      <c r="H16" s="19">
        <v>0.78</v>
      </c>
      <c r="I16" s="19">
        <v>3.96</v>
      </c>
      <c r="J16" s="31">
        <v>11.27</v>
      </c>
    </row>
    <row r="17" spans="1:10" ht="16.5" thickBot="1" x14ac:dyDescent="0.3">
      <c r="A17" s="90" t="s">
        <v>15</v>
      </c>
      <c r="B17" s="102"/>
      <c r="C17" s="102"/>
      <c r="D17" s="102"/>
      <c r="E17" s="103"/>
      <c r="F17" s="20">
        <f>SUM(F15:F16)</f>
        <v>7</v>
      </c>
      <c r="G17" s="20">
        <f>SUM(G15:G16)</f>
        <v>143.30000000000001</v>
      </c>
      <c r="H17" s="20">
        <f t="shared" ref="H17:J17" si="1">SUM(H15:H16)</f>
        <v>0.85000000000000009</v>
      </c>
      <c r="I17" s="20">
        <f t="shared" si="1"/>
        <v>3.98</v>
      </c>
      <c r="J17" s="20">
        <f t="shared" si="1"/>
        <v>26.27</v>
      </c>
    </row>
    <row r="18" spans="1:10" ht="30" x14ac:dyDescent="0.25">
      <c r="A18" s="110" t="s">
        <v>37</v>
      </c>
      <c r="B18" s="21" t="s">
        <v>16</v>
      </c>
      <c r="C18" s="22" t="s">
        <v>46</v>
      </c>
      <c r="D18" s="22" t="s">
        <v>47</v>
      </c>
      <c r="E18" s="14" t="s">
        <v>44</v>
      </c>
      <c r="F18" s="15">
        <v>12.24</v>
      </c>
      <c r="G18" s="15">
        <f>415*0.25+162*0.1</f>
        <v>119.95</v>
      </c>
      <c r="H18" s="15">
        <f>7.21*0.25+2.6*0.1</f>
        <v>2.0625</v>
      </c>
      <c r="I18" s="15">
        <f>19.68*0.25+15*0.1</f>
        <v>6.42</v>
      </c>
      <c r="J18" s="16">
        <f>43.73*0.25+3.6*0.1</f>
        <v>11.292499999999999</v>
      </c>
    </row>
    <row r="19" spans="1:10" s="47" customFormat="1" x14ac:dyDescent="0.25">
      <c r="A19" s="110"/>
      <c r="B19" s="8" t="s">
        <v>13</v>
      </c>
      <c r="C19" s="6" t="s">
        <v>53</v>
      </c>
      <c r="D19" s="6" t="s">
        <v>54</v>
      </c>
      <c r="E19" s="17" t="s">
        <v>60</v>
      </c>
      <c r="F19" s="7">
        <v>17.89</v>
      </c>
      <c r="G19" s="25">
        <f>151.2*0.4</f>
        <v>60.48</v>
      </c>
      <c r="H19" s="25">
        <f>15.6*0.4</f>
        <v>6.24</v>
      </c>
      <c r="I19" s="25">
        <f>8.4*0.4</f>
        <v>3.3600000000000003</v>
      </c>
      <c r="J19" s="26">
        <f>3.3*0.4</f>
        <v>1.32</v>
      </c>
    </row>
    <row r="20" spans="1:10" s="47" customFormat="1" x14ac:dyDescent="0.25">
      <c r="A20" s="110"/>
      <c r="B20" s="8" t="s">
        <v>17</v>
      </c>
      <c r="C20" s="6" t="s">
        <v>38</v>
      </c>
      <c r="D20" s="6" t="s">
        <v>45</v>
      </c>
      <c r="E20" s="17">
        <v>120</v>
      </c>
      <c r="F20" s="7">
        <v>11.47</v>
      </c>
      <c r="G20" s="60">
        <f>112.3*1.2</f>
        <v>134.76</v>
      </c>
      <c r="H20" s="60">
        <f>3.68*1.2</f>
        <v>4.4160000000000004</v>
      </c>
      <c r="I20" s="60">
        <f>3.01*1.2</f>
        <v>3.6119999999999997</v>
      </c>
      <c r="J20" s="61">
        <f>17.63*1.2</f>
        <v>21.155999999999999</v>
      </c>
    </row>
    <row r="21" spans="1:10" x14ac:dyDescent="0.25">
      <c r="A21" s="110"/>
      <c r="B21" s="8" t="s">
        <v>18</v>
      </c>
      <c r="C21" s="6" t="s">
        <v>19</v>
      </c>
      <c r="D21" s="6" t="s">
        <v>20</v>
      </c>
      <c r="E21" s="17" t="s">
        <v>34</v>
      </c>
      <c r="F21" s="7">
        <v>2.2599999999999998</v>
      </c>
      <c r="G21" s="7">
        <v>60</v>
      </c>
      <c r="H21" s="7">
        <v>7.0000000000000007E-2</v>
      </c>
      <c r="I21" s="7">
        <v>0.02</v>
      </c>
      <c r="J21" s="9">
        <v>15</v>
      </c>
    </row>
    <row r="22" spans="1:10" ht="15.75" thickBot="1" x14ac:dyDescent="0.3">
      <c r="A22" s="110"/>
      <c r="B22" s="10" t="s">
        <v>14</v>
      </c>
      <c r="C22" s="11" t="s">
        <v>32</v>
      </c>
      <c r="D22" s="11" t="s">
        <v>33</v>
      </c>
      <c r="E22" s="18">
        <v>26</v>
      </c>
      <c r="F22" s="19">
        <v>1.1399999999999999</v>
      </c>
      <c r="G22" s="19">
        <f>229.7*0.26</f>
        <v>59.722000000000001</v>
      </c>
      <c r="H22" s="12">
        <f>6.7*0.26</f>
        <v>1.7420000000000002</v>
      </c>
      <c r="I22" s="12">
        <f>1.1*0.26</f>
        <v>0.28600000000000003</v>
      </c>
      <c r="J22" s="13">
        <f>48.3*0.26</f>
        <v>12.558</v>
      </c>
    </row>
    <row r="23" spans="1:10" ht="16.5" thickBot="1" x14ac:dyDescent="0.3">
      <c r="A23" s="90" t="s">
        <v>15</v>
      </c>
      <c r="B23" s="105"/>
      <c r="C23" s="105"/>
      <c r="D23" s="105"/>
      <c r="E23" s="106"/>
      <c r="F23" s="23">
        <f>SUM(F18:F22)</f>
        <v>45</v>
      </c>
      <c r="G23" s="23">
        <f>SUM(G18:G22)</f>
        <v>434.91199999999998</v>
      </c>
      <c r="H23" s="23">
        <f>SUM(H18:H22)</f>
        <v>14.530500000000002</v>
      </c>
      <c r="I23" s="23">
        <f>SUM(I18:I22)</f>
        <v>13.698</v>
      </c>
      <c r="J23" s="23">
        <f>SUM(J18:J22)</f>
        <v>61.326499999999996</v>
      </c>
    </row>
    <row r="24" spans="1:10" s="36" customFormat="1" ht="30" x14ac:dyDescent="0.25">
      <c r="A24" s="104" t="s">
        <v>74</v>
      </c>
      <c r="B24" s="8" t="s">
        <v>16</v>
      </c>
      <c r="C24" s="6" t="s">
        <v>46</v>
      </c>
      <c r="D24" s="6" t="s">
        <v>47</v>
      </c>
      <c r="E24" s="17" t="s">
        <v>44</v>
      </c>
      <c r="F24" s="7">
        <v>12.24</v>
      </c>
      <c r="G24" s="7">
        <f>415*0.25+162*0.1</f>
        <v>119.95</v>
      </c>
      <c r="H24" s="7">
        <f>7.21*0.25+2.6*0.1</f>
        <v>2.0625</v>
      </c>
      <c r="I24" s="7">
        <f>19.68*0.25+15*0.1</f>
        <v>6.42</v>
      </c>
      <c r="J24" s="9">
        <f>43.73*0.25+3.6*0.1</f>
        <v>11.292499999999999</v>
      </c>
    </row>
    <row r="25" spans="1:10" x14ac:dyDescent="0.25">
      <c r="A25" s="104"/>
      <c r="B25" s="8" t="s">
        <v>13</v>
      </c>
      <c r="C25" s="6" t="s">
        <v>53</v>
      </c>
      <c r="D25" s="6" t="s">
        <v>54</v>
      </c>
      <c r="E25" s="17" t="s">
        <v>55</v>
      </c>
      <c r="F25" s="7">
        <v>35.78</v>
      </c>
      <c r="G25" s="25">
        <f>151.2*0.8</f>
        <v>120.96</v>
      </c>
      <c r="H25" s="25">
        <f>15.6*0.8</f>
        <v>12.48</v>
      </c>
      <c r="I25" s="25">
        <f>8.4*0.8</f>
        <v>6.7200000000000006</v>
      </c>
      <c r="J25" s="26">
        <f>3.3*0.8</f>
        <v>2.64</v>
      </c>
    </row>
    <row r="26" spans="1:10" s="56" customFormat="1" x14ac:dyDescent="0.25">
      <c r="A26" s="104"/>
      <c r="B26" s="8" t="s">
        <v>17</v>
      </c>
      <c r="C26" s="6" t="s">
        <v>38</v>
      </c>
      <c r="D26" s="6" t="s">
        <v>45</v>
      </c>
      <c r="E26" s="17">
        <v>110</v>
      </c>
      <c r="F26" s="7">
        <v>10.52</v>
      </c>
      <c r="G26" s="60">
        <f>112.3*1.1</f>
        <v>123.53</v>
      </c>
      <c r="H26" s="60">
        <f>3.68*1.1</f>
        <v>4.0480000000000009</v>
      </c>
      <c r="I26" s="60">
        <f>3.01*1.1</f>
        <v>3.3109999999999999</v>
      </c>
      <c r="J26" s="61">
        <f>17.63*1.1</f>
        <v>19.393000000000001</v>
      </c>
    </row>
    <row r="27" spans="1:10" s="56" customFormat="1" x14ac:dyDescent="0.25">
      <c r="A27" s="104"/>
      <c r="B27" s="8" t="s">
        <v>18</v>
      </c>
      <c r="C27" s="6" t="s">
        <v>19</v>
      </c>
      <c r="D27" s="6" t="s">
        <v>20</v>
      </c>
      <c r="E27" s="17" t="s">
        <v>34</v>
      </c>
      <c r="F27" s="7">
        <v>2.2599999999999998</v>
      </c>
      <c r="G27" s="7">
        <v>60</v>
      </c>
      <c r="H27" s="7">
        <v>7.0000000000000007E-2</v>
      </c>
      <c r="I27" s="7">
        <v>0.02</v>
      </c>
      <c r="J27" s="9">
        <v>15</v>
      </c>
    </row>
    <row r="28" spans="1:10" s="47" customFormat="1" x14ac:dyDescent="0.25">
      <c r="A28" s="104"/>
      <c r="B28" s="114" t="s">
        <v>39</v>
      </c>
      <c r="C28" s="115" t="s">
        <v>40</v>
      </c>
      <c r="D28" s="115" t="s">
        <v>63</v>
      </c>
      <c r="E28" s="116">
        <v>58</v>
      </c>
      <c r="F28" s="117">
        <v>15.02</v>
      </c>
      <c r="G28" s="117">
        <v>191.4</v>
      </c>
      <c r="H28" s="117">
        <v>0.57999999999999996</v>
      </c>
      <c r="I28" s="117">
        <v>0</v>
      </c>
      <c r="J28" s="118">
        <v>46.98</v>
      </c>
    </row>
    <row r="29" spans="1:10" ht="15.75" thickBot="1" x14ac:dyDescent="0.3">
      <c r="A29" s="104"/>
      <c r="B29" s="10" t="s">
        <v>14</v>
      </c>
      <c r="C29" s="11" t="s">
        <v>32</v>
      </c>
      <c r="D29" s="11" t="s">
        <v>33</v>
      </c>
      <c r="E29" s="18">
        <v>27</v>
      </c>
      <c r="F29" s="19">
        <v>1.18</v>
      </c>
      <c r="G29" s="19">
        <f>229.7*0.27</f>
        <v>62.018999999999998</v>
      </c>
      <c r="H29" s="12">
        <f>6.7*0.27</f>
        <v>1.8090000000000002</v>
      </c>
      <c r="I29" s="12">
        <f>1.1*0.27</f>
        <v>0.29700000000000004</v>
      </c>
      <c r="J29" s="13">
        <f>48.3*0.27</f>
        <v>13.041</v>
      </c>
    </row>
    <row r="30" spans="1:10" ht="16.5" thickBot="1" x14ac:dyDescent="0.3">
      <c r="A30" s="90" t="s">
        <v>15</v>
      </c>
      <c r="B30" s="105"/>
      <c r="C30" s="105"/>
      <c r="D30" s="105"/>
      <c r="E30" s="106"/>
      <c r="F30" s="23">
        <f>SUM(F24:F29)</f>
        <v>77.000000000000014</v>
      </c>
      <c r="G30" s="23">
        <f>SUM(G24:G29)</f>
        <v>677.85900000000004</v>
      </c>
      <c r="H30" s="23">
        <f>SUM(H24:H29)</f>
        <v>21.049500000000002</v>
      </c>
      <c r="I30" s="23">
        <f>SUM(I24:I29)</f>
        <v>16.768000000000001</v>
      </c>
      <c r="J30" s="23">
        <f>SUM(J24:J29)</f>
        <v>108.34649999999999</v>
      </c>
    </row>
    <row r="32" spans="1:10" ht="15.75" thickBot="1" x14ac:dyDescent="0.3">
      <c r="A32" s="88" t="s">
        <v>25</v>
      </c>
      <c r="B32" s="88"/>
      <c r="C32" s="88"/>
      <c r="D32" s="88"/>
      <c r="E32" s="88"/>
      <c r="F32" s="88"/>
      <c r="G32" s="88"/>
      <c r="H32" s="88"/>
      <c r="I32" s="88"/>
      <c r="J32" s="88"/>
    </row>
    <row r="33" spans="1:10" ht="15.75" x14ac:dyDescent="0.25">
      <c r="A33" s="69"/>
      <c r="B33" s="24"/>
      <c r="C33" s="87" t="s">
        <v>23</v>
      </c>
      <c r="D33" s="87"/>
      <c r="G33" s="89"/>
      <c r="H33" s="89"/>
      <c r="I33" s="89"/>
      <c r="J33" s="89"/>
    </row>
    <row r="34" spans="1:10" x14ac:dyDescent="0.25">
      <c r="A34" s="67"/>
      <c r="B34" s="1"/>
      <c r="C34" s="1"/>
      <c r="D34" s="1"/>
    </row>
    <row r="35" spans="1:10" x14ac:dyDescent="0.25">
      <c r="A35" s="72" t="s">
        <v>24</v>
      </c>
      <c r="B35" s="72"/>
    </row>
    <row r="36" spans="1:10" x14ac:dyDescent="0.25">
      <c r="A36" s="72" t="s">
        <v>26</v>
      </c>
      <c r="B36" s="72"/>
    </row>
    <row r="37" spans="1:10" x14ac:dyDescent="0.25">
      <c r="A37" s="70"/>
    </row>
  </sheetData>
  <mergeCells count="17">
    <mergeCell ref="B1:C1"/>
    <mergeCell ref="G1:J1"/>
    <mergeCell ref="A9:E9"/>
    <mergeCell ref="A18:A22"/>
    <mergeCell ref="A3:A8"/>
    <mergeCell ref="A35:B35"/>
    <mergeCell ref="A36:B36"/>
    <mergeCell ref="A10:A13"/>
    <mergeCell ref="A14:E14"/>
    <mergeCell ref="A15:A16"/>
    <mergeCell ref="A17:E17"/>
    <mergeCell ref="A24:A29"/>
    <mergeCell ref="A30:E30"/>
    <mergeCell ref="A32:J32"/>
    <mergeCell ref="C33:D33"/>
    <mergeCell ref="G33:J33"/>
    <mergeCell ref="A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2022-09-29T04:50:18Z</dcterms:modified>
</cp:coreProperties>
</file>