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J18" i="2"/>
  <c r="I18" i="2"/>
  <c r="H18" i="2"/>
  <c r="G18" i="2"/>
  <c r="J28" i="2"/>
  <c r="I28" i="2"/>
  <c r="H28" i="2"/>
  <c r="G28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17" i="2"/>
  <c r="I17" i="2"/>
  <c r="H17" i="2"/>
  <c r="G17" i="2"/>
  <c r="J16" i="2"/>
  <c r="I16" i="2"/>
  <c r="H16" i="2"/>
  <c r="G16" i="2"/>
  <c r="J14" i="2"/>
  <c r="I14" i="2"/>
  <c r="H14" i="2"/>
  <c r="G14" i="2"/>
  <c r="J11" i="2"/>
  <c r="I11" i="2"/>
  <c r="H11" i="2"/>
  <c r="G11" i="2"/>
  <c r="J9" i="2"/>
  <c r="I9" i="2"/>
  <c r="H9" i="2"/>
  <c r="G9" i="2"/>
  <c r="F8" i="2"/>
  <c r="J7" i="2"/>
  <c r="I7" i="2"/>
  <c r="H7" i="2"/>
  <c r="G7" i="2"/>
  <c r="J6" i="2"/>
  <c r="I6" i="2"/>
  <c r="H6" i="2"/>
  <c r="G6" i="2"/>
  <c r="J5" i="2"/>
  <c r="I5" i="2"/>
  <c r="H5" i="2"/>
  <c r="G5" i="2"/>
  <c r="J4" i="2" l="1"/>
  <c r="I4" i="2"/>
  <c r="H4" i="2"/>
  <c r="G4" i="2"/>
  <c r="J3" i="2"/>
  <c r="I3" i="2"/>
  <c r="H3" i="2"/>
  <c r="G3" i="2"/>
  <c r="J25" i="1"/>
  <c r="I25" i="1"/>
  <c r="H25" i="1"/>
  <c r="G25" i="1"/>
  <c r="J22" i="1"/>
  <c r="I22" i="1"/>
  <c r="G22" i="1"/>
  <c r="H22" i="1"/>
  <c r="J21" i="1"/>
  <c r="I21" i="1"/>
  <c r="H21" i="1"/>
  <c r="G21" i="1"/>
  <c r="J19" i="1"/>
  <c r="I19" i="1"/>
  <c r="H19" i="1"/>
  <c r="G19" i="1"/>
  <c r="J17" i="1"/>
  <c r="I17" i="1"/>
  <c r="H17" i="1"/>
  <c r="G17" i="1"/>
  <c r="J14" i="1"/>
  <c r="I14" i="1"/>
  <c r="H14" i="1"/>
  <c r="G14" i="1"/>
  <c r="J12" i="1"/>
  <c r="I12" i="1"/>
  <c r="H12" i="1"/>
  <c r="G12" i="1"/>
  <c r="J11" i="1"/>
  <c r="I11" i="1"/>
  <c r="H11" i="1"/>
  <c r="G11" i="1"/>
  <c r="J10" i="1"/>
  <c r="I10" i="1"/>
  <c r="H10" i="1"/>
  <c r="G10" i="1"/>
  <c r="G3" i="1" l="1"/>
  <c r="J8" i="1"/>
  <c r="I8" i="1"/>
  <c r="H8" i="1"/>
  <c r="G8" i="1"/>
  <c r="J5" i="1"/>
  <c r="I5" i="1"/>
  <c r="H5" i="1"/>
  <c r="G5" i="1"/>
  <c r="J4" i="1"/>
  <c r="I4" i="1"/>
  <c r="H4" i="1"/>
  <c r="G4" i="1"/>
  <c r="J3" i="1"/>
  <c r="I3" i="1"/>
  <c r="H3" i="1"/>
  <c r="F23" i="1" l="1"/>
  <c r="J18" i="1" l="1"/>
  <c r="I18" i="1"/>
  <c r="H18" i="1"/>
  <c r="G18" i="1"/>
  <c r="J16" i="1"/>
  <c r="J23" i="1" s="1"/>
  <c r="I16" i="1"/>
  <c r="I23" i="1" s="1"/>
  <c r="H16" i="1"/>
  <c r="H23" i="1" s="1"/>
  <c r="G16" i="1"/>
  <c r="G23" i="1" s="1"/>
  <c r="G15" i="1" l="1"/>
  <c r="H15" i="1"/>
  <c r="I15" i="1"/>
  <c r="J15" i="1"/>
  <c r="F15" i="1"/>
  <c r="G29" i="2" l="1"/>
  <c r="H29" i="2"/>
  <c r="I29" i="2"/>
  <c r="J29" i="2"/>
  <c r="F29" i="2"/>
  <c r="F26" i="1" l="1"/>
  <c r="G26" i="1" l="1"/>
  <c r="I26" i="1"/>
  <c r="H26" i="1"/>
  <c r="J26" i="1"/>
  <c r="F12" i="2" l="1"/>
  <c r="J12" i="2"/>
  <c r="I12" i="2"/>
  <c r="H12" i="2"/>
  <c r="G12" i="2"/>
  <c r="F15" i="2"/>
  <c r="J15" i="2"/>
  <c r="I15" i="2"/>
  <c r="H15" i="2"/>
  <c r="G15" i="2"/>
  <c r="F9" i="1"/>
  <c r="F21" i="2" l="1"/>
  <c r="G8" i="2"/>
  <c r="H8" i="2"/>
  <c r="I8" i="2"/>
  <c r="J8" i="2"/>
  <c r="J21" i="2" l="1"/>
  <c r="I21" i="2"/>
  <c r="H21" i="2"/>
  <c r="G21" i="2"/>
  <c r="G9" i="1" l="1"/>
  <c r="I9" i="1"/>
  <c r="H9" i="1"/>
  <c r="J9" i="1" l="1"/>
</calcChain>
</file>

<file path=xl/sharedStrings.xml><?xml version="1.0" encoding="utf-8"?>
<sst xmlns="http://schemas.openxmlformats.org/spreadsheetml/2006/main" count="192" uniqueCount="79">
  <si>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</si>
  <si>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</si>
  <si>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</si>
  <si>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</si>
  <si>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</si>
  <si>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</si>
  <si>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</si>
  <si>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</si>
  <si>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</si>
  <si>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</si>
  <si>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</si>
  <si>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</si>
  <si>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</si>
  <si>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</si>
  <si>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</si>
  <si>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</si>
  <si>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</si>
  <si>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</si>
  <si>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</si>
  <si>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</si>
  <si>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</si>
  <si>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</si>
  <si>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Фрукт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</si>
  <si>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</si>
  <si>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</si>
  <si>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</si>
  <si>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</si>
  <si>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</si>
  <si>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</si>
  <si>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</si>
  <si>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</si>
  <si>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</si>
  <si>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</si>
  <si>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№210-2015г.</t>
  </si>
  <si>
    <t>ТТК№5</t>
  </si>
  <si>
    <t>Батон "Домашний"</t>
  </si>
  <si>
    <t>200/15</t>
  </si>
  <si>
    <t>№338-2015г.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</si>
  <si>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</si>
  <si>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</si>
  <si>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</si>
  <si>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250/2</t>
  </si>
  <si>
    <t>Салат "Витаминный"</t>
  </si>
  <si>
    <t>Омлет натуральный с маслом</t>
  </si>
  <si>
    <t>Напиток</t>
  </si>
  <si>
    <t>ПР</t>
  </si>
  <si>
    <t>Молочный коктейль "Авишка" 2,5%</t>
  </si>
  <si>
    <t>№425-2015г.</t>
  </si>
  <si>
    <t>Булочка дорожная</t>
  </si>
  <si>
    <t>№302-2015г.</t>
  </si>
  <si>
    <t>Каша рассыпчатая гречневая</t>
  </si>
  <si>
    <t>№268-2015г.</t>
  </si>
  <si>
    <t>Котлета из свинины</t>
  </si>
  <si>
    <t>Кондитерское изделие</t>
  </si>
  <si>
    <t>№389-2015г.</t>
  </si>
  <si>
    <t>Сок фруктовый</t>
  </si>
  <si>
    <t>Пряник сливочный</t>
  </si>
  <si>
    <t>№71-2015г.</t>
  </si>
  <si>
    <t>Овощи натуральные свежие (помидоры)</t>
  </si>
  <si>
    <t>105/3</t>
  </si>
  <si>
    <t>№304-2015г.</t>
  </si>
  <si>
    <t>Рис отварной</t>
  </si>
  <si>
    <t>№45-2015г.</t>
  </si>
  <si>
    <t>№49-2015г.</t>
  </si>
  <si>
    <t>№97-2015г.</t>
  </si>
  <si>
    <t>Суп картофельный с зеленью</t>
  </si>
  <si>
    <t>Суп картофельный с рыбными консервами с зеленью</t>
  </si>
  <si>
    <t>250/10/2</t>
  </si>
  <si>
    <t>Груша свежая (порциями)</t>
  </si>
  <si>
    <t>Салат из белокочанной капусты</t>
  </si>
  <si>
    <t>Омлет натуральный</t>
  </si>
  <si>
    <t>№382-2015г.</t>
  </si>
  <si>
    <t>Какао с молоком</t>
  </si>
  <si>
    <t>№420-2015г.</t>
  </si>
  <si>
    <t>Колбаса варёная, запечённая в тесте</t>
  </si>
  <si>
    <t>37,5/37,5</t>
  </si>
  <si>
    <t>Печенье "Сахарное"</t>
  </si>
  <si>
    <t>Завтрак 5-11 кл с доплатой 70,00 руб. и льготники с доплатой 50,00 руб. 1 смена</t>
  </si>
  <si>
    <t>Обед 6-7 кл. с доплатой 70,00 руб. и льготники с доплатой 50,00 руб.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</si>
</sst>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2" fontId="4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2" fontId="3" fillId="0" borderId="13" xfId="0" applyNumberFormat="1" applyFont="1" applyBorder="1" applyAlignment="1">
      <alignment horizontal="right" vertical="center" wrapText="1"/>
    </xf>
    <xf numFmtId="2" fontId="3" fillId="0" borderId="13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2" fontId="3" fillId="0" borderId="1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2" fontId="3" fillId="0" borderId="15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2" fontId="3" fillId="0" borderId="16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2" fontId="4" fillId="0" borderId="30" xfId="0" applyNumberFormat="1" applyFont="1" applyBorder="1" applyAlignment="1">
      <alignment vertical="center" wrapText="1"/>
    </xf>
    <xf numFmtId="0" fontId="3" fillId="0" borderId="0" xfId="0" applyFont="1"/>
    <xf numFmtId="2" fontId="4" fillId="0" borderId="32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2" fontId="7" fillId="0" borderId="4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3" fillId="0" borderId="1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2" fontId="3" fillId="0" borderId="0" xfId="0" applyNumberFormat="1" applyFont="1" applyAlignment="1">
      <alignment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0" xfId="0" applyNumberFormat="1" applyFont="1"/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G21" sqref="G21"/>
    </sheetView>
  </sheetViews>
  <sheetFormatPr defaultRowHeight="15" x14ac:dyDescent="0.25"/>
  <cols>
    <col min="1" max="1" width="19.5703125" style="2" customWidth="1"/>
    <col min="2" max="2" width="24.7109375" style="2" customWidth="1"/>
    <col min="3" max="3" width="12.28515625" style="2" customWidth="1"/>
    <col min="4" max="4" width="48" style="2" customWidth="1"/>
    <col min="5" max="5" width="10.140625" style="2" bestFit="1" customWidth="1"/>
    <col min="6" max="6" width="8.140625" style="2" customWidth="1"/>
    <col min="7" max="7" width="14" style="2" customWidth="1"/>
    <col min="8" max="9" width="8.85546875" style="2" customWidth="1"/>
    <col min="10" max="10" width="10.85546875" style="2" customWidth="1"/>
    <col min="11" max="16384" width="9.140625" style="2"/>
  </cols>
  <sheetData>
    <row r="1" spans="1:12" ht="15.75" thickBot="1" x14ac:dyDescent="0.3">
      <c r="A1" s="32" t="s">
        <v>0</v>
      </c>
      <c r="B1" s="53" t="s">
        <v>23</v>
      </c>
      <c r="C1" s="54"/>
      <c r="D1" s="1" t="s">
        <v>1</v>
      </c>
      <c r="E1" s="35"/>
      <c r="F1" s="1" t="s">
        <v>2</v>
      </c>
      <c r="G1" s="55">
        <v>44837</v>
      </c>
      <c r="H1" s="56"/>
      <c r="I1" s="56"/>
      <c r="J1" s="57"/>
      <c r="K1" s="1"/>
      <c r="L1" s="1"/>
    </row>
    <row r="2" spans="1:12" ht="15.75" thickBot="1" x14ac:dyDescent="0.3">
      <c r="A2" s="33" t="s">
        <v>3</v>
      </c>
      <c r="B2" s="5" t="s">
        <v>4</v>
      </c>
      <c r="C2" s="34" t="s">
        <v>5</v>
      </c>
      <c r="D2" s="46" t="s">
        <v>6</v>
      </c>
      <c r="E2" s="46" t="s">
        <v>7</v>
      </c>
      <c r="F2" s="46" t="s">
        <v>8</v>
      </c>
      <c r="G2" s="5" t="s">
        <v>9</v>
      </c>
      <c r="H2" s="5" t="s">
        <v>10</v>
      </c>
      <c r="I2" s="5" t="s">
        <v>11</v>
      </c>
      <c r="J2" s="29" t="s">
        <v>12</v>
      </c>
    </row>
    <row r="3" spans="1:12" x14ac:dyDescent="0.25">
      <c r="A3" s="74" t="s">
        <v>28</v>
      </c>
      <c r="B3" s="25" t="s">
        <v>32</v>
      </c>
      <c r="C3" s="26" t="s">
        <v>63</v>
      </c>
      <c r="D3" s="26" t="s">
        <v>42</v>
      </c>
      <c r="E3" s="18">
        <v>50</v>
      </c>
      <c r="F3" s="19">
        <v>16.47</v>
      </c>
      <c r="G3" s="19">
        <f>957*0.05</f>
        <v>47.85</v>
      </c>
      <c r="H3" s="19">
        <f>15.71*0.05</f>
        <v>0.78550000000000009</v>
      </c>
      <c r="I3" s="19">
        <f>60.22*0.05</f>
        <v>3.0110000000000001</v>
      </c>
      <c r="J3" s="20">
        <f>87.92*0.05</f>
        <v>4.3959999999999999</v>
      </c>
    </row>
    <row r="4" spans="1:12" x14ac:dyDescent="0.25">
      <c r="A4" s="75"/>
      <c r="B4" s="9" t="s">
        <v>13</v>
      </c>
      <c r="C4" s="6" t="s">
        <v>33</v>
      </c>
      <c r="D4" s="6" t="s">
        <v>43</v>
      </c>
      <c r="E4" s="21" t="s">
        <v>59</v>
      </c>
      <c r="F4" s="8">
        <v>25.92</v>
      </c>
      <c r="G4" s="8">
        <f>79*2+66*0.3</f>
        <v>177.8</v>
      </c>
      <c r="H4" s="8">
        <f>5.32*2+0.08*0.3</f>
        <v>10.664</v>
      </c>
      <c r="I4" s="8">
        <f>5.97*2+7.25*0.3</f>
        <v>14.114999999999998</v>
      </c>
      <c r="J4" s="10">
        <f>0.95*2+0.13*0.3</f>
        <v>1.9389999999999998</v>
      </c>
    </row>
    <row r="5" spans="1:12" s="43" customFormat="1" x14ac:dyDescent="0.25">
      <c r="A5" s="75"/>
      <c r="B5" s="9" t="s">
        <v>17</v>
      </c>
      <c r="C5" s="6" t="s">
        <v>60</v>
      </c>
      <c r="D5" s="6" t="s">
        <v>61</v>
      </c>
      <c r="E5" s="21">
        <v>120</v>
      </c>
      <c r="F5" s="8">
        <v>11.68</v>
      </c>
      <c r="G5" s="8">
        <f>1398*0.12</f>
        <v>167.76</v>
      </c>
      <c r="H5" s="8">
        <f>24.34*0.12</f>
        <v>2.9207999999999998</v>
      </c>
      <c r="I5" s="8">
        <f>35.83*0.12</f>
        <v>4.2995999999999999</v>
      </c>
      <c r="J5" s="10">
        <f>244.56*0.12</f>
        <v>29.347200000000001</v>
      </c>
    </row>
    <row r="6" spans="1:12" x14ac:dyDescent="0.25">
      <c r="A6" s="75"/>
      <c r="B6" s="9" t="s">
        <v>44</v>
      </c>
      <c r="C6" s="6" t="s">
        <v>45</v>
      </c>
      <c r="D6" s="6" t="s">
        <v>46</v>
      </c>
      <c r="E6" s="51">
        <v>200</v>
      </c>
      <c r="F6" s="7">
        <v>37.24</v>
      </c>
      <c r="G6" s="47">
        <v>160</v>
      </c>
      <c r="H6" s="47">
        <v>5</v>
      </c>
      <c r="I6" s="47">
        <v>6.2</v>
      </c>
      <c r="J6" s="48">
        <v>22</v>
      </c>
    </row>
    <row r="7" spans="1:12" x14ac:dyDescent="0.25">
      <c r="A7" s="75"/>
      <c r="B7" s="9" t="s">
        <v>21</v>
      </c>
      <c r="C7" s="6" t="s">
        <v>47</v>
      </c>
      <c r="D7" s="6" t="s">
        <v>48</v>
      </c>
      <c r="E7" s="21">
        <v>50</v>
      </c>
      <c r="F7" s="8">
        <v>3.87</v>
      </c>
      <c r="G7" s="8">
        <v>160.5</v>
      </c>
      <c r="H7" s="44">
        <v>3.39</v>
      </c>
      <c r="I7" s="44">
        <v>6.98</v>
      </c>
      <c r="J7" s="45">
        <v>21.07</v>
      </c>
    </row>
    <row r="8" spans="1:12" ht="15.75" thickBot="1" x14ac:dyDescent="0.3">
      <c r="A8" s="76"/>
      <c r="B8" s="12" t="s">
        <v>14</v>
      </c>
      <c r="C8" s="13" t="s">
        <v>34</v>
      </c>
      <c r="D8" s="13" t="s">
        <v>35</v>
      </c>
      <c r="E8" s="22">
        <v>45</v>
      </c>
      <c r="F8" s="23">
        <v>1.97</v>
      </c>
      <c r="G8" s="23">
        <f>229.7*0.45</f>
        <v>103.36499999999999</v>
      </c>
      <c r="H8" s="14">
        <f>6.7*0.45</f>
        <v>3.0150000000000001</v>
      </c>
      <c r="I8" s="14">
        <f>1.1*0.45</f>
        <v>0.49500000000000005</v>
      </c>
      <c r="J8" s="15">
        <f>48.3*0.45</f>
        <v>21.734999999999999</v>
      </c>
    </row>
    <row r="9" spans="1:12" ht="16.5" thickBot="1" x14ac:dyDescent="0.3">
      <c r="A9" s="61" t="s">
        <v>15</v>
      </c>
      <c r="B9" s="62"/>
      <c r="C9" s="62"/>
      <c r="D9" s="62"/>
      <c r="E9" s="63"/>
      <c r="F9" s="24">
        <f>SUM(F3:F8)</f>
        <v>97.15</v>
      </c>
      <c r="G9" s="24">
        <f t="shared" ref="G9:J9" si="0">SUM(G3:G8)</f>
        <v>817.27499999999998</v>
      </c>
      <c r="H9" s="24">
        <f t="shared" si="0"/>
        <v>25.775300000000001</v>
      </c>
      <c r="I9" s="24">
        <f t="shared" si="0"/>
        <v>35.100599999999993</v>
      </c>
      <c r="J9" s="24">
        <f t="shared" si="0"/>
        <v>100.4872</v>
      </c>
    </row>
    <row r="10" spans="1:12" x14ac:dyDescent="0.25">
      <c r="A10" s="64" t="s">
        <v>29</v>
      </c>
      <c r="B10" s="25" t="s">
        <v>16</v>
      </c>
      <c r="C10" s="26" t="s">
        <v>64</v>
      </c>
      <c r="D10" s="26" t="s">
        <v>65</v>
      </c>
      <c r="E10" s="18" t="s">
        <v>41</v>
      </c>
      <c r="F10" s="19">
        <v>8.3000000000000007</v>
      </c>
      <c r="G10" s="19">
        <f>456*0.25+200*0</f>
        <v>114</v>
      </c>
      <c r="H10" s="19">
        <f>9.37*0.25+17.7*0</f>
        <v>2.3424999999999998</v>
      </c>
      <c r="I10" s="19">
        <f>11.31*0.25+14.4*0</f>
        <v>2.8275000000000001</v>
      </c>
      <c r="J10" s="20">
        <f>67.48*0.25+0</f>
        <v>16.87</v>
      </c>
    </row>
    <row r="11" spans="1:12" x14ac:dyDescent="0.25">
      <c r="A11" s="65"/>
      <c r="B11" s="9" t="s">
        <v>13</v>
      </c>
      <c r="C11" s="6" t="s">
        <v>51</v>
      </c>
      <c r="D11" s="6" t="s">
        <v>52</v>
      </c>
      <c r="E11" s="21">
        <v>44</v>
      </c>
      <c r="F11" s="8">
        <v>20.9</v>
      </c>
      <c r="G11" s="44">
        <f>182/50*44</f>
        <v>160.16</v>
      </c>
      <c r="H11" s="44">
        <f>6.74/50*44</f>
        <v>5.9312000000000005</v>
      </c>
      <c r="I11" s="44">
        <f>13.91/50*44</f>
        <v>12.2408</v>
      </c>
      <c r="J11" s="45">
        <f>7.09/50*44</f>
        <v>6.2392000000000003</v>
      </c>
    </row>
    <row r="12" spans="1:12" x14ac:dyDescent="0.25">
      <c r="A12" s="65"/>
      <c r="B12" s="9" t="s">
        <v>17</v>
      </c>
      <c r="C12" s="6" t="s">
        <v>49</v>
      </c>
      <c r="D12" s="6" t="s">
        <v>50</v>
      </c>
      <c r="E12" s="21">
        <v>100</v>
      </c>
      <c r="F12" s="8">
        <v>10.029999999999999</v>
      </c>
      <c r="G12" s="49">
        <f>1625*0.1</f>
        <v>162.5</v>
      </c>
      <c r="H12" s="49">
        <f>57.32*0.1</f>
        <v>5.7320000000000002</v>
      </c>
      <c r="I12" s="49">
        <f>40.62*0.1</f>
        <v>4.0620000000000003</v>
      </c>
      <c r="J12" s="50">
        <f>257.61*0.1</f>
        <v>25.761000000000003</v>
      </c>
    </row>
    <row r="13" spans="1:12" x14ac:dyDescent="0.25">
      <c r="A13" s="65"/>
      <c r="B13" s="9" t="s">
        <v>18</v>
      </c>
      <c r="C13" s="6" t="s">
        <v>19</v>
      </c>
      <c r="D13" s="6" t="s">
        <v>20</v>
      </c>
      <c r="E13" s="21" t="s">
        <v>36</v>
      </c>
      <c r="F13" s="8">
        <v>2.31</v>
      </c>
      <c r="G13" s="8">
        <v>60</v>
      </c>
      <c r="H13" s="8">
        <v>7.0000000000000007E-2</v>
      </c>
      <c r="I13" s="8">
        <v>0.02</v>
      </c>
      <c r="J13" s="10">
        <v>15</v>
      </c>
    </row>
    <row r="14" spans="1:12" ht="15.75" thickBot="1" x14ac:dyDescent="0.3">
      <c r="A14" s="65"/>
      <c r="B14" s="12" t="s">
        <v>14</v>
      </c>
      <c r="C14" s="13" t="s">
        <v>34</v>
      </c>
      <c r="D14" s="13" t="s">
        <v>35</v>
      </c>
      <c r="E14" s="22">
        <v>17</v>
      </c>
      <c r="F14" s="23">
        <v>0.75</v>
      </c>
      <c r="G14" s="23">
        <f>229.7*0.17</f>
        <v>39.048999999999999</v>
      </c>
      <c r="H14" s="14">
        <f>6.7*0.17</f>
        <v>1.139</v>
      </c>
      <c r="I14" s="14">
        <f>1.1*0.17</f>
        <v>0.18700000000000003</v>
      </c>
      <c r="J14" s="15">
        <f>48.3*0.17</f>
        <v>8.2110000000000003</v>
      </c>
    </row>
    <row r="15" spans="1:12" ht="16.5" thickBot="1" x14ac:dyDescent="0.3">
      <c r="A15" s="66" t="s">
        <v>15</v>
      </c>
      <c r="B15" s="67"/>
      <c r="C15" s="67"/>
      <c r="D15" s="67"/>
      <c r="E15" s="68"/>
      <c r="F15" s="39">
        <f>SUM(F10:F14)</f>
        <v>42.29</v>
      </c>
      <c r="G15" s="39">
        <f t="shared" ref="G15:J15" si="1">SUM(G10:G14)</f>
        <v>535.70899999999995</v>
      </c>
      <c r="H15" s="39">
        <f t="shared" si="1"/>
        <v>15.214700000000001</v>
      </c>
      <c r="I15" s="39">
        <f t="shared" si="1"/>
        <v>19.337300000000003</v>
      </c>
      <c r="J15" s="39">
        <f t="shared" si="1"/>
        <v>72.08120000000001</v>
      </c>
    </row>
    <row r="16" spans="1:12" s="42" customFormat="1" ht="15.75" x14ac:dyDescent="0.25">
      <c r="A16" s="70" t="s">
        <v>30</v>
      </c>
      <c r="B16" s="52" t="s">
        <v>32</v>
      </c>
      <c r="C16" s="17" t="s">
        <v>57</v>
      </c>
      <c r="D16" s="17" t="s">
        <v>58</v>
      </c>
      <c r="E16" s="18">
        <v>30</v>
      </c>
      <c r="F16" s="19">
        <v>2.66</v>
      </c>
      <c r="G16" s="19">
        <f>11/50*30</f>
        <v>6.6</v>
      </c>
      <c r="H16" s="19">
        <f>0.55/50*30</f>
        <v>0.33</v>
      </c>
      <c r="I16" s="19">
        <f>0.1/50*30</f>
        <v>0.06</v>
      </c>
      <c r="J16" s="20">
        <f>1.9/50*30</f>
        <v>1.1399999999999999</v>
      </c>
    </row>
    <row r="17" spans="1:10" s="38" customFormat="1" ht="30" x14ac:dyDescent="0.25">
      <c r="A17" s="71"/>
      <c r="B17" s="9" t="s">
        <v>16</v>
      </c>
      <c r="C17" s="6" t="s">
        <v>64</v>
      </c>
      <c r="D17" s="6" t="s">
        <v>66</v>
      </c>
      <c r="E17" s="21" t="s">
        <v>67</v>
      </c>
      <c r="F17" s="8">
        <v>28.09</v>
      </c>
      <c r="G17" s="8">
        <f>456*0.25+200*0.1</f>
        <v>134</v>
      </c>
      <c r="H17" s="8">
        <f>9.37*0.25+17.7*0.1</f>
        <v>4.1124999999999998</v>
      </c>
      <c r="I17" s="8">
        <f>11.31*0.25+14.4*0.1</f>
        <v>4.2675000000000001</v>
      </c>
      <c r="J17" s="10">
        <f>67.48*0.25+0</f>
        <v>16.87</v>
      </c>
    </row>
    <row r="18" spans="1:10" x14ac:dyDescent="0.25">
      <c r="A18" s="71"/>
      <c r="B18" s="9" t="s">
        <v>13</v>
      </c>
      <c r="C18" s="6" t="s">
        <v>51</v>
      </c>
      <c r="D18" s="6" t="s">
        <v>52</v>
      </c>
      <c r="E18" s="21">
        <v>60</v>
      </c>
      <c r="F18" s="8">
        <v>28.51</v>
      </c>
      <c r="G18" s="44">
        <f>182/50*60</f>
        <v>218.4</v>
      </c>
      <c r="H18" s="44">
        <f>6.74/50*60</f>
        <v>8.088000000000001</v>
      </c>
      <c r="I18" s="44">
        <f>13.91/50*60</f>
        <v>16.692</v>
      </c>
      <c r="J18" s="45">
        <f>7.09/50*60</f>
        <v>8.5080000000000009</v>
      </c>
    </row>
    <row r="19" spans="1:10" s="31" customFormat="1" x14ac:dyDescent="0.25">
      <c r="A19" s="71"/>
      <c r="B19" s="9" t="s">
        <v>17</v>
      </c>
      <c r="C19" s="6" t="s">
        <v>49</v>
      </c>
      <c r="D19" s="6" t="s">
        <v>50</v>
      </c>
      <c r="E19" s="21">
        <v>100</v>
      </c>
      <c r="F19" s="8">
        <v>10.029999999999999</v>
      </c>
      <c r="G19" s="49">
        <f>1625*0.1</f>
        <v>162.5</v>
      </c>
      <c r="H19" s="49">
        <f>57.32*0.1</f>
        <v>5.7320000000000002</v>
      </c>
      <c r="I19" s="49">
        <f>40.62*0.1</f>
        <v>4.0620000000000003</v>
      </c>
      <c r="J19" s="50">
        <f>257.61*0.1</f>
        <v>25.761000000000003</v>
      </c>
    </row>
    <row r="20" spans="1:10" x14ac:dyDescent="0.25">
      <c r="A20" s="71"/>
      <c r="B20" s="9" t="s">
        <v>18</v>
      </c>
      <c r="C20" s="6" t="s">
        <v>19</v>
      </c>
      <c r="D20" s="6" t="s">
        <v>20</v>
      </c>
      <c r="E20" s="21" t="s">
        <v>36</v>
      </c>
      <c r="F20" s="8">
        <v>2.31</v>
      </c>
      <c r="G20" s="8">
        <v>60</v>
      </c>
      <c r="H20" s="8">
        <v>7.0000000000000007E-2</v>
      </c>
      <c r="I20" s="8">
        <v>0.02</v>
      </c>
      <c r="J20" s="10">
        <v>15</v>
      </c>
    </row>
    <row r="21" spans="1:10" s="38" customFormat="1" x14ac:dyDescent="0.25">
      <c r="A21" s="71"/>
      <c r="B21" s="9" t="s">
        <v>14</v>
      </c>
      <c r="C21" s="6" t="s">
        <v>34</v>
      </c>
      <c r="D21" s="6" t="s">
        <v>35</v>
      </c>
      <c r="E21" s="21">
        <v>16</v>
      </c>
      <c r="F21" s="8">
        <v>0.7</v>
      </c>
      <c r="G21" s="8">
        <f>229.7*0.16</f>
        <v>36.752000000000002</v>
      </c>
      <c r="H21" s="7">
        <f>6.7*0.16</f>
        <v>1.0720000000000001</v>
      </c>
      <c r="I21" s="7">
        <f>1.1*0.16</f>
        <v>0.17600000000000002</v>
      </c>
      <c r="J21" s="11">
        <f>48.3*0.16</f>
        <v>7.7279999999999998</v>
      </c>
    </row>
    <row r="22" spans="1:10" s="40" customFormat="1" ht="15.75" thickBot="1" x14ac:dyDescent="0.3">
      <c r="A22" s="72"/>
      <c r="B22" s="12" t="s">
        <v>22</v>
      </c>
      <c r="C22" s="13" t="s">
        <v>37</v>
      </c>
      <c r="D22" s="13" t="s">
        <v>68</v>
      </c>
      <c r="E22" s="22">
        <v>140</v>
      </c>
      <c r="F22" s="23">
        <v>24.85</v>
      </c>
      <c r="G22" s="23">
        <f>47*1.4</f>
        <v>65.8</v>
      </c>
      <c r="H22" s="23">
        <f>0.4*1.4</f>
        <v>0.55999999999999994</v>
      </c>
      <c r="I22" s="23">
        <f>0.3*1.4</f>
        <v>0.42</v>
      </c>
      <c r="J22" s="27">
        <f>10.3*1.4</f>
        <v>14.42</v>
      </c>
    </row>
    <row r="23" spans="1:10" ht="16.5" thickBot="1" x14ac:dyDescent="0.3">
      <c r="A23" s="69" t="s">
        <v>15</v>
      </c>
      <c r="B23" s="62"/>
      <c r="C23" s="62"/>
      <c r="D23" s="62"/>
      <c r="E23" s="63"/>
      <c r="F23" s="24">
        <f>SUM(F16:F22)</f>
        <v>97.15</v>
      </c>
      <c r="G23" s="24">
        <f t="shared" ref="G23:J23" si="2">SUM(G16:G22)</f>
        <v>684.05199999999991</v>
      </c>
      <c r="H23" s="24">
        <f t="shared" si="2"/>
        <v>19.964499999999997</v>
      </c>
      <c r="I23" s="24">
        <f t="shared" si="2"/>
        <v>25.697500000000002</v>
      </c>
      <c r="J23" s="24">
        <f t="shared" si="2"/>
        <v>89.426999999999992</v>
      </c>
    </row>
    <row r="24" spans="1:10" s="36" customFormat="1" x14ac:dyDescent="0.25">
      <c r="A24" s="79" t="s">
        <v>31</v>
      </c>
      <c r="B24" s="25" t="s">
        <v>44</v>
      </c>
      <c r="C24" s="26" t="s">
        <v>54</v>
      </c>
      <c r="D24" s="26" t="s">
        <v>55</v>
      </c>
      <c r="E24" s="18">
        <v>200</v>
      </c>
      <c r="F24" s="19">
        <v>21.71</v>
      </c>
      <c r="G24" s="19">
        <v>104</v>
      </c>
      <c r="H24" s="19">
        <v>0.6</v>
      </c>
      <c r="I24" s="19">
        <v>0.2</v>
      </c>
      <c r="J24" s="20">
        <v>23.6</v>
      </c>
    </row>
    <row r="25" spans="1:10" s="36" customFormat="1" ht="15.75" thickBot="1" x14ac:dyDescent="0.3">
      <c r="A25" s="80"/>
      <c r="B25" s="12" t="s">
        <v>53</v>
      </c>
      <c r="C25" s="13" t="s">
        <v>45</v>
      </c>
      <c r="D25" s="13" t="s">
        <v>56</v>
      </c>
      <c r="E25" s="87">
        <v>87</v>
      </c>
      <c r="F25" s="14">
        <v>20.58</v>
      </c>
      <c r="G25" s="88">
        <f>350*0.87</f>
        <v>304.5</v>
      </c>
      <c r="H25" s="88">
        <f>5*0.87</f>
        <v>4.3499999999999996</v>
      </c>
      <c r="I25" s="88">
        <f>6*0.87</f>
        <v>5.22</v>
      </c>
      <c r="J25" s="89">
        <f>69*0.87</f>
        <v>60.03</v>
      </c>
    </row>
    <row r="26" spans="1:10" ht="16.5" thickBot="1" x14ac:dyDescent="0.3">
      <c r="A26" s="61" t="s">
        <v>15</v>
      </c>
      <c r="B26" s="77"/>
      <c r="C26" s="77"/>
      <c r="D26" s="77"/>
      <c r="E26" s="78"/>
      <c r="F26" s="3">
        <f>SUM(F24:F25)</f>
        <v>42.29</v>
      </c>
      <c r="G26" s="3">
        <f>SUM(G24:G25)</f>
        <v>408.5</v>
      </c>
      <c r="H26" s="3">
        <f>SUM(H24:H25)</f>
        <v>4.9499999999999993</v>
      </c>
      <c r="I26" s="3">
        <f>SUM(I24:I25)</f>
        <v>5.42</v>
      </c>
      <c r="J26" s="3">
        <f>SUM(J24:J25)</f>
        <v>83.63</v>
      </c>
    </row>
    <row r="28" spans="1:10" ht="15.75" thickBot="1" x14ac:dyDescent="0.3">
      <c r="A28" s="59" t="s">
        <v>26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0" ht="15.75" x14ac:dyDescent="0.25">
      <c r="A29" s="28"/>
      <c r="B29" s="28"/>
      <c r="C29" s="58" t="s">
        <v>24</v>
      </c>
      <c r="D29" s="58"/>
      <c r="G29" s="60"/>
      <c r="H29" s="60"/>
      <c r="I29" s="60"/>
      <c r="J29" s="60"/>
    </row>
    <row r="30" spans="1:10" x14ac:dyDescent="0.25">
      <c r="A30" s="1"/>
      <c r="B30" s="1"/>
      <c r="C30" s="1"/>
      <c r="D30" s="1"/>
    </row>
    <row r="31" spans="1:10" ht="15" customHeight="1" x14ac:dyDescent="0.25">
      <c r="A31" s="73" t="s">
        <v>25</v>
      </c>
      <c r="B31" s="73"/>
    </row>
    <row r="32" spans="1:10" ht="15" customHeight="1" x14ac:dyDescent="0.25">
      <c r="A32" s="73" t="s">
        <v>27</v>
      </c>
      <c r="B32" s="73"/>
    </row>
    <row r="33" spans="1:1" x14ac:dyDescent="0.25">
      <c r="A33" s="4"/>
    </row>
  </sheetData>
  <mergeCells count="15">
    <mergeCell ref="A31:B31"/>
    <mergeCell ref="A32:B32"/>
    <mergeCell ref="A3:A8"/>
    <mergeCell ref="A26:E26"/>
    <mergeCell ref="A24:A25"/>
    <mergeCell ref="B1:C1"/>
    <mergeCell ref="G1:J1"/>
    <mergeCell ref="C29:D29"/>
    <mergeCell ref="A28:J28"/>
    <mergeCell ref="G29:J29"/>
    <mergeCell ref="A9:E9"/>
    <mergeCell ref="A10:A14"/>
    <mergeCell ref="A15:E15"/>
    <mergeCell ref="A23:E23"/>
    <mergeCell ref="A16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G2" sqref="G2"/>
    </sheetView>
  </sheetViews>
  <sheetFormatPr defaultRowHeight="15" x14ac:dyDescent="0.25"/>
  <cols>
    <col min="1" max="1" width="24" style="2" customWidth="1"/>
    <col min="2" max="2" width="19.140625" style="2" customWidth="1"/>
    <col min="3" max="3" width="12.5703125" style="2" customWidth="1"/>
    <col min="4" max="4" width="50.85546875" style="2" customWidth="1"/>
    <col min="5" max="5" width="9.85546875" style="2" customWidth="1"/>
    <col min="6" max="6" width="9.140625" style="92"/>
    <col min="7" max="7" width="14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3" t="s">
        <v>23</v>
      </c>
      <c r="C1" s="54"/>
      <c r="D1" s="1" t="s">
        <v>1</v>
      </c>
      <c r="E1" s="35"/>
      <c r="F1" s="90" t="s">
        <v>2</v>
      </c>
      <c r="G1" s="55">
        <v>44837</v>
      </c>
      <c r="H1" s="56"/>
      <c r="I1" s="56"/>
      <c r="J1" s="57"/>
      <c r="K1" s="1"/>
      <c r="L1" s="1"/>
    </row>
    <row r="2" spans="1:12" ht="15.75" thickBot="1" x14ac:dyDescent="0.3">
      <c r="A2" s="33" t="s">
        <v>3</v>
      </c>
      <c r="B2" s="5" t="s">
        <v>4</v>
      </c>
      <c r="C2" s="34" t="s">
        <v>5</v>
      </c>
      <c r="D2" s="33" t="s">
        <v>6</v>
      </c>
      <c r="E2" s="33" t="s">
        <v>7</v>
      </c>
      <c r="F2" s="91" t="s">
        <v>8</v>
      </c>
      <c r="G2" s="5" t="s">
        <v>9</v>
      </c>
      <c r="H2" s="5" t="s">
        <v>10</v>
      </c>
      <c r="I2" s="5" t="s">
        <v>11</v>
      </c>
      <c r="J2" s="29" t="s">
        <v>12</v>
      </c>
    </row>
    <row r="3" spans="1:12" x14ac:dyDescent="0.25">
      <c r="A3" s="81" t="s">
        <v>77</v>
      </c>
      <c r="B3" s="16" t="s">
        <v>32</v>
      </c>
      <c r="C3" s="17" t="s">
        <v>62</v>
      </c>
      <c r="D3" s="17" t="s">
        <v>69</v>
      </c>
      <c r="E3" s="18">
        <v>50</v>
      </c>
      <c r="F3" s="19">
        <v>3</v>
      </c>
      <c r="G3" s="19">
        <f>901*0.05</f>
        <v>45.050000000000004</v>
      </c>
      <c r="H3" s="19">
        <f>13.12*0.05</f>
        <v>0.65600000000000003</v>
      </c>
      <c r="I3" s="19">
        <f>32.49*0.05</f>
        <v>1.6245000000000003</v>
      </c>
      <c r="J3" s="20">
        <f>64.66*0.05</f>
        <v>3.2330000000000001</v>
      </c>
    </row>
    <row r="4" spans="1:12" x14ac:dyDescent="0.25">
      <c r="A4" s="81"/>
      <c r="B4" s="9" t="s">
        <v>13</v>
      </c>
      <c r="C4" s="6" t="s">
        <v>33</v>
      </c>
      <c r="D4" s="6" t="s">
        <v>70</v>
      </c>
      <c r="E4" s="21">
        <v>105</v>
      </c>
      <c r="F4" s="8">
        <v>22.57</v>
      </c>
      <c r="G4" s="8">
        <f>79*2+66*0</f>
        <v>158</v>
      </c>
      <c r="H4" s="8">
        <f>5.32*2+0.08*0</f>
        <v>10.64</v>
      </c>
      <c r="I4" s="8">
        <f>5.97*2+7.25*0</f>
        <v>11.94</v>
      </c>
      <c r="J4" s="10">
        <f>0.95*2+0.13*0</f>
        <v>1.9</v>
      </c>
    </row>
    <row r="5" spans="1:12" x14ac:dyDescent="0.25">
      <c r="A5" s="81"/>
      <c r="B5" s="9" t="s">
        <v>18</v>
      </c>
      <c r="C5" s="6" t="s">
        <v>71</v>
      </c>
      <c r="D5" s="6" t="s">
        <v>72</v>
      </c>
      <c r="E5" s="21">
        <v>200</v>
      </c>
      <c r="F5" s="8">
        <v>18.12</v>
      </c>
      <c r="G5" s="8">
        <f>593*0.2</f>
        <v>118.60000000000001</v>
      </c>
      <c r="H5" s="8">
        <f>20.39*0.2</f>
        <v>4.0780000000000003</v>
      </c>
      <c r="I5" s="8">
        <f>17.72*0.2</f>
        <v>3.544</v>
      </c>
      <c r="J5" s="10">
        <f>87.89*0.2</f>
        <v>17.577999999999999</v>
      </c>
    </row>
    <row r="6" spans="1:12" x14ac:dyDescent="0.25">
      <c r="A6" s="81"/>
      <c r="B6" s="9" t="s">
        <v>21</v>
      </c>
      <c r="C6" s="6" t="s">
        <v>73</v>
      </c>
      <c r="D6" s="6" t="s">
        <v>74</v>
      </c>
      <c r="E6" s="21" t="s">
        <v>75</v>
      </c>
      <c r="F6" s="8">
        <v>32.74</v>
      </c>
      <c r="G6" s="8">
        <f>266*0.75</f>
        <v>199.5</v>
      </c>
      <c r="H6" s="7">
        <f>10.27*0.75</f>
        <v>7.7024999999999997</v>
      </c>
      <c r="I6" s="7">
        <f>12.88*0.75</f>
        <v>9.66</v>
      </c>
      <c r="J6" s="11">
        <f>27.33*0.75</f>
        <v>20.497499999999999</v>
      </c>
    </row>
    <row r="7" spans="1:12" ht="15.75" thickBot="1" x14ac:dyDescent="0.3">
      <c r="A7" s="82"/>
      <c r="B7" s="12" t="s">
        <v>14</v>
      </c>
      <c r="C7" s="13" t="s">
        <v>34</v>
      </c>
      <c r="D7" s="13" t="s">
        <v>35</v>
      </c>
      <c r="E7" s="22">
        <v>13</v>
      </c>
      <c r="F7" s="23">
        <v>0.56999999999999995</v>
      </c>
      <c r="G7" s="23">
        <f>229.7*0.13</f>
        <v>29.861000000000001</v>
      </c>
      <c r="H7" s="14">
        <f>6.7*0.13</f>
        <v>0.87100000000000011</v>
      </c>
      <c r="I7" s="14">
        <f>1.1*0.13</f>
        <v>0.14300000000000002</v>
      </c>
      <c r="J7" s="15">
        <f>48.3*0.13</f>
        <v>6.2789999999999999</v>
      </c>
    </row>
    <row r="8" spans="1:12" ht="16.5" thickBot="1" x14ac:dyDescent="0.3">
      <c r="A8" s="83" t="s">
        <v>15</v>
      </c>
      <c r="B8" s="62"/>
      <c r="C8" s="62"/>
      <c r="D8" s="62"/>
      <c r="E8" s="63"/>
      <c r="F8" s="24">
        <f>SUM(F3:F7)</f>
        <v>77</v>
      </c>
      <c r="G8" s="24">
        <f>SUM(G3:G7)</f>
        <v>551.01100000000008</v>
      </c>
      <c r="H8" s="24">
        <f>SUM(H3:H7)</f>
        <v>23.947500000000002</v>
      </c>
      <c r="I8" s="24">
        <f>SUM(I3:I7)</f>
        <v>26.9115</v>
      </c>
      <c r="J8" s="24">
        <f>SUM(J3:J7)</f>
        <v>49.487499999999997</v>
      </c>
    </row>
    <row r="9" spans="1:12" s="31" customFormat="1" ht="15.75" thickTop="1" x14ac:dyDescent="0.25">
      <c r="A9" s="84" t="s">
        <v>38</v>
      </c>
      <c r="B9" s="25" t="s">
        <v>13</v>
      </c>
      <c r="C9" s="26" t="s">
        <v>33</v>
      </c>
      <c r="D9" s="26" t="s">
        <v>43</v>
      </c>
      <c r="E9" s="18">
        <v>105</v>
      </c>
      <c r="F9" s="19">
        <v>22.57</v>
      </c>
      <c r="G9" s="19">
        <f>79*2+66*0</f>
        <v>158</v>
      </c>
      <c r="H9" s="19">
        <f>5.32*2+0.08*0</f>
        <v>10.64</v>
      </c>
      <c r="I9" s="19">
        <f>5.97*2+7.25*0</f>
        <v>11.94</v>
      </c>
      <c r="J9" s="20">
        <f>0.95*2+0.13*0</f>
        <v>1.9</v>
      </c>
    </row>
    <row r="10" spans="1:12" s="30" customFormat="1" x14ac:dyDescent="0.25">
      <c r="A10" s="81"/>
      <c r="B10" s="9" t="s">
        <v>18</v>
      </c>
      <c r="C10" s="6" t="s">
        <v>19</v>
      </c>
      <c r="D10" s="6" t="s">
        <v>20</v>
      </c>
      <c r="E10" s="21" t="s">
        <v>36</v>
      </c>
      <c r="F10" s="8">
        <v>2.31</v>
      </c>
      <c r="G10" s="8">
        <v>60</v>
      </c>
      <c r="H10" s="8">
        <v>7.0000000000000007E-2</v>
      </c>
      <c r="I10" s="8">
        <v>0.02</v>
      </c>
      <c r="J10" s="10">
        <v>15</v>
      </c>
    </row>
    <row r="11" spans="1:12" s="30" customFormat="1" ht="15.75" thickBot="1" x14ac:dyDescent="0.3">
      <c r="A11" s="81"/>
      <c r="B11" s="12" t="s">
        <v>14</v>
      </c>
      <c r="C11" s="13" t="s">
        <v>34</v>
      </c>
      <c r="D11" s="13" t="s">
        <v>35</v>
      </c>
      <c r="E11" s="22">
        <v>48.5</v>
      </c>
      <c r="F11" s="23">
        <v>2.12</v>
      </c>
      <c r="G11" s="23">
        <f>229.7*0.485</f>
        <v>111.40449999999998</v>
      </c>
      <c r="H11" s="14">
        <f>6.7*0.485</f>
        <v>3.2494999999999998</v>
      </c>
      <c r="I11" s="14">
        <f>1.1*0.485</f>
        <v>0.53349999999999997</v>
      </c>
      <c r="J11" s="15">
        <f>48.3*0.485</f>
        <v>23.4255</v>
      </c>
    </row>
    <row r="12" spans="1:12" ht="16.5" thickBot="1" x14ac:dyDescent="0.3">
      <c r="A12" s="83" t="s">
        <v>15</v>
      </c>
      <c r="B12" s="62"/>
      <c r="C12" s="62"/>
      <c r="D12" s="62"/>
      <c r="E12" s="63"/>
      <c r="F12" s="24">
        <f>SUM(F9:F11)</f>
        <v>27</v>
      </c>
      <c r="G12" s="24">
        <f>SUM(G9:G11)</f>
        <v>329.40449999999998</v>
      </c>
      <c r="H12" s="24">
        <f>SUM(H9:H11)</f>
        <v>13.9595</v>
      </c>
      <c r="I12" s="24">
        <f>SUM(I9:I11)</f>
        <v>12.493499999999999</v>
      </c>
      <c r="J12" s="24">
        <f>SUM(J9:J11)</f>
        <v>40.325499999999998</v>
      </c>
    </row>
    <row r="13" spans="1:12" ht="28.5" customHeight="1" thickTop="1" x14ac:dyDescent="0.25">
      <c r="A13" s="84" t="s">
        <v>40</v>
      </c>
      <c r="B13" s="25" t="s">
        <v>18</v>
      </c>
      <c r="C13" s="26" t="s">
        <v>19</v>
      </c>
      <c r="D13" s="26" t="s">
        <v>20</v>
      </c>
      <c r="E13" s="18" t="s">
        <v>36</v>
      </c>
      <c r="F13" s="19">
        <v>2.31</v>
      </c>
      <c r="G13" s="19">
        <v>60</v>
      </c>
      <c r="H13" s="19">
        <v>7.0000000000000007E-2</v>
      </c>
      <c r="I13" s="19">
        <v>0.02</v>
      </c>
      <c r="J13" s="20">
        <v>15</v>
      </c>
    </row>
    <row r="14" spans="1:12" ht="32.25" customHeight="1" thickBot="1" x14ac:dyDescent="0.3">
      <c r="A14" s="81"/>
      <c r="B14" s="12" t="s">
        <v>53</v>
      </c>
      <c r="C14" s="13" t="s">
        <v>45</v>
      </c>
      <c r="D14" s="13" t="s">
        <v>76</v>
      </c>
      <c r="E14" s="22">
        <v>21</v>
      </c>
      <c r="F14" s="23">
        <v>4.6900000000000004</v>
      </c>
      <c r="G14" s="23">
        <f>410*0.21</f>
        <v>86.1</v>
      </c>
      <c r="H14" s="23">
        <f>7*0.21</f>
        <v>1.47</v>
      </c>
      <c r="I14" s="23">
        <f>10*0.21</f>
        <v>2.1</v>
      </c>
      <c r="J14" s="27">
        <f>74*0.21</f>
        <v>15.54</v>
      </c>
    </row>
    <row r="15" spans="1:12" ht="16.5" thickBot="1" x14ac:dyDescent="0.3">
      <c r="A15" s="83" t="s">
        <v>15</v>
      </c>
      <c r="B15" s="62"/>
      <c r="C15" s="62"/>
      <c r="D15" s="62"/>
      <c r="E15" s="63"/>
      <c r="F15" s="24">
        <f>SUM(F13:F14)</f>
        <v>7</v>
      </c>
      <c r="G15" s="24">
        <f t="shared" ref="G15:J15" si="0">SUM(G13:G14)</f>
        <v>146.1</v>
      </c>
      <c r="H15" s="24">
        <f t="shared" si="0"/>
        <v>1.54</v>
      </c>
      <c r="I15" s="24">
        <f t="shared" si="0"/>
        <v>2.12</v>
      </c>
      <c r="J15" s="24">
        <f t="shared" si="0"/>
        <v>30.54</v>
      </c>
    </row>
    <row r="16" spans="1:12" x14ac:dyDescent="0.25">
      <c r="A16" s="64" t="s">
        <v>39</v>
      </c>
      <c r="B16" s="25" t="s">
        <v>16</v>
      </c>
      <c r="C16" s="26" t="s">
        <v>64</v>
      </c>
      <c r="D16" s="26" t="s">
        <v>65</v>
      </c>
      <c r="E16" s="18" t="s">
        <v>41</v>
      </c>
      <c r="F16" s="19">
        <v>8.3000000000000007</v>
      </c>
      <c r="G16" s="19">
        <f>456*0.25+200*0</f>
        <v>114</v>
      </c>
      <c r="H16" s="19">
        <f>9.37*0.25+17.7*0</f>
        <v>2.3424999999999998</v>
      </c>
      <c r="I16" s="19">
        <f>11.31*0.25+14.4*0</f>
        <v>2.8275000000000001</v>
      </c>
      <c r="J16" s="20">
        <f>67.48*0.25+0</f>
        <v>16.87</v>
      </c>
    </row>
    <row r="17" spans="1:10" x14ac:dyDescent="0.25">
      <c r="A17" s="65"/>
      <c r="B17" s="9" t="s">
        <v>13</v>
      </c>
      <c r="C17" s="6" t="s">
        <v>51</v>
      </c>
      <c r="D17" s="6" t="s">
        <v>52</v>
      </c>
      <c r="E17" s="21">
        <v>44</v>
      </c>
      <c r="F17" s="8">
        <v>20.9</v>
      </c>
      <c r="G17" s="44">
        <f>182/50*44</f>
        <v>160.16</v>
      </c>
      <c r="H17" s="44">
        <f>6.74/50*44</f>
        <v>5.9312000000000005</v>
      </c>
      <c r="I17" s="44">
        <f>13.91/50*44</f>
        <v>12.2408</v>
      </c>
      <c r="J17" s="45">
        <f>7.09/50*44</f>
        <v>6.2392000000000003</v>
      </c>
    </row>
    <row r="18" spans="1:10" x14ac:dyDescent="0.25">
      <c r="A18" s="65"/>
      <c r="B18" s="9" t="s">
        <v>17</v>
      </c>
      <c r="C18" s="6" t="s">
        <v>49</v>
      </c>
      <c r="D18" s="6" t="s">
        <v>50</v>
      </c>
      <c r="E18" s="21">
        <v>120</v>
      </c>
      <c r="F18" s="8">
        <v>12.04</v>
      </c>
      <c r="G18" s="49">
        <f>1625*0.12</f>
        <v>195</v>
      </c>
      <c r="H18" s="49">
        <f>57.32*0.12</f>
        <v>6.8784000000000001</v>
      </c>
      <c r="I18" s="49">
        <f>40.62*0.12</f>
        <v>4.8743999999999996</v>
      </c>
      <c r="J18" s="50">
        <f>257.61*0.12</f>
        <v>30.9132</v>
      </c>
    </row>
    <row r="19" spans="1:10" x14ac:dyDescent="0.25">
      <c r="A19" s="65"/>
      <c r="B19" s="9" t="s">
        <v>18</v>
      </c>
      <c r="C19" s="6" t="s">
        <v>19</v>
      </c>
      <c r="D19" s="6" t="s">
        <v>20</v>
      </c>
      <c r="E19" s="21" t="s">
        <v>36</v>
      </c>
      <c r="F19" s="8">
        <v>2.31</v>
      </c>
      <c r="G19" s="8">
        <v>60</v>
      </c>
      <c r="H19" s="8">
        <v>7.0000000000000007E-2</v>
      </c>
      <c r="I19" s="8">
        <v>0.02</v>
      </c>
      <c r="J19" s="10">
        <v>15</v>
      </c>
    </row>
    <row r="20" spans="1:10" ht="15.75" thickBot="1" x14ac:dyDescent="0.3">
      <c r="A20" s="65"/>
      <c r="B20" s="12" t="s">
        <v>14</v>
      </c>
      <c r="C20" s="13" t="s">
        <v>34</v>
      </c>
      <c r="D20" s="13" t="s">
        <v>35</v>
      </c>
      <c r="E20" s="22">
        <v>33</v>
      </c>
      <c r="F20" s="23">
        <v>1.45</v>
      </c>
      <c r="G20" s="23">
        <f>229.7*0.33</f>
        <v>75.801000000000002</v>
      </c>
      <c r="H20" s="14">
        <f>6.7*0.33</f>
        <v>2.2110000000000003</v>
      </c>
      <c r="I20" s="14">
        <f>1.1*0.33</f>
        <v>0.36300000000000004</v>
      </c>
      <c r="J20" s="15">
        <f>48.3*0.33</f>
        <v>15.939</v>
      </c>
    </row>
    <row r="21" spans="1:10" ht="16.5" thickBot="1" x14ac:dyDescent="0.3">
      <c r="A21" s="66" t="s">
        <v>15</v>
      </c>
      <c r="B21" s="67"/>
      <c r="C21" s="67"/>
      <c r="D21" s="67"/>
      <c r="E21" s="68"/>
      <c r="F21" s="39">
        <f>SUM(F16:F20)</f>
        <v>45</v>
      </c>
      <c r="G21" s="39">
        <f t="shared" ref="G21:J21" si="1">SUM(G16:G20)</f>
        <v>604.96100000000001</v>
      </c>
      <c r="H21" s="39">
        <f t="shared" si="1"/>
        <v>17.433100000000003</v>
      </c>
      <c r="I21" s="39">
        <f t="shared" si="1"/>
        <v>20.325700000000001</v>
      </c>
      <c r="J21" s="39">
        <f t="shared" si="1"/>
        <v>84.961399999999998</v>
      </c>
    </row>
    <row r="22" spans="1:10" ht="15.75" x14ac:dyDescent="0.25">
      <c r="A22" s="65" t="s">
        <v>78</v>
      </c>
      <c r="B22" s="52" t="s">
        <v>32</v>
      </c>
      <c r="C22" s="17" t="s">
        <v>57</v>
      </c>
      <c r="D22" s="17" t="s">
        <v>58</v>
      </c>
      <c r="E22" s="18">
        <v>30</v>
      </c>
      <c r="F22" s="19">
        <v>2.66</v>
      </c>
      <c r="G22" s="19">
        <f>11/50*30</f>
        <v>6.6</v>
      </c>
      <c r="H22" s="19">
        <f>0.55/50*30</f>
        <v>0.33</v>
      </c>
      <c r="I22" s="19">
        <f>0.1/50*30</f>
        <v>0.06</v>
      </c>
      <c r="J22" s="20">
        <f>1.9/50*30</f>
        <v>1.1399999999999999</v>
      </c>
    </row>
    <row r="23" spans="1:10" x14ac:dyDescent="0.25">
      <c r="A23" s="65"/>
      <c r="B23" s="9" t="s">
        <v>16</v>
      </c>
      <c r="C23" s="6" t="s">
        <v>64</v>
      </c>
      <c r="D23" s="6" t="s">
        <v>66</v>
      </c>
      <c r="E23" s="21" t="s">
        <v>67</v>
      </c>
      <c r="F23" s="8">
        <v>28.09</v>
      </c>
      <c r="G23" s="8">
        <f>456*0.25+200*0.1</f>
        <v>134</v>
      </c>
      <c r="H23" s="8">
        <f>9.37*0.25+17.7*0.1</f>
        <v>4.1124999999999998</v>
      </c>
      <c r="I23" s="8">
        <f>11.31*0.25+14.4*0.1</f>
        <v>4.2675000000000001</v>
      </c>
      <c r="J23" s="10">
        <f>67.48*0.25+0</f>
        <v>16.87</v>
      </c>
    </row>
    <row r="24" spans="1:10" x14ac:dyDescent="0.25">
      <c r="A24" s="65"/>
      <c r="B24" s="9" t="s">
        <v>13</v>
      </c>
      <c r="C24" s="6" t="s">
        <v>51</v>
      </c>
      <c r="D24" s="6" t="s">
        <v>52</v>
      </c>
      <c r="E24" s="21">
        <v>60</v>
      </c>
      <c r="F24" s="8">
        <v>28.51</v>
      </c>
      <c r="G24" s="44">
        <f>182/50*60</f>
        <v>218.4</v>
      </c>
      <c r="H24" s="44">
        <f>6.74/50*60</f>
        <v>8.088000000000001</v>
      </c>
      <c r="I24" s="44">
        <f>13.91/50*60</f>
        <v>16.692</v>
      </c>
      <c r="J24" s="45">
        <f>7.09/50*60</f>
        <v>8.5080000000000009</v>
      </c>
    </row>
    <row r="25" spans="1:10" x14ac:dyDescent="0.25">
      <c r="A25" s="65"/>
      <c r="B25" s="9" t="s">
        <v>17</v>
      </c>
      <c r="C25" s="6" t="s">
        <v>49</v>
      </c>
      <c r="D25" s="6" t="s">
        <v>50</v>
      </c>
      <c r="E25" s="21">
        <v>100</v>
      </c>
      <c r="F25" s="8">
        <v>10.029999999999999</v>
      </c>
      <c r="G25" s="49">
        <f>1625*0.1</f>
        <v>162.5</v>
      </c>
      <c r="H25" s="49">
        <f>57.32*0.1</f>
        <v>5.7320000000000002</v>
      </c>
      <c r="I25" s="49">
        <f>40.62*0.1</f>
        <v>4.0620000000000003</v>
      </c>
      <c r="J25" s="50">
        <f>257.61*0.1</f>
        <v>25.761000000000003</v>
      </c>
    </row>
    <row r="26" spans="1:10" s="37" customFormat="1" x14ac:dyDescent="0.25">
      <c r="A26" s="65"/>
      <c r="B26" s="9" t="s">
        <v>18</v>
      </c>
      <c r="C26" s="6" t="s">
        <v>19</v>
      </c>
      <c r="D26" s="6" t="s">
        <v>20</v>
      </c>
      <c r="E26" s="21" t="s">
        <v>36</v>
      </c>
      <c r="F26" s="8">
        <v>2.31</v>
      </c>
      <c r="G26" s="8">
        <v>60</v>
      </c>
      <c r="H26" s="8">
        <v>7.0000000000000007E-2</v>
      </c>
      <c r="I26" s="8">
        <v>0.02</v>
      </c>
      <c r="J26" s="10">
        <v>15</v>
      </c>
    </row>
    <row r="27" spans="1:10" s="42" customFormat="1" x14ac:dyDescent="0.25">
      <c r="A27" s="65"/>
      <c r="B27" s="9" t="s">
        <v>21</v>
      </c>
      <c r="C27" s="6" t="s">
        <v>47</v>
      </c>
      <c r="D27" s="6" t="s">
        <v>48</v>
      </c>
      <c r="E27" s="21">
        <v>50</v>
      </c>
      <c r="F27" s="8">
        <v>3.87</v>
      </c>
      <c r="G27" s="8">
        <v>160.5</v>
      </c>
      <c r="H27" s="44">
        <v>3.39</v>
      </c>
      <c r="I27" s="44">
        <v>6.98</v>
      </c>
      <c r="J27" s="45">
        <v>21.07</v>
      </c>
    </row>
    <row r="28" spans="1:10" s="40" customFormat="1" ht="15.75" thickBot="1" x14ac:dyDescent="0.3">
      <c r="A28" s="65"/>
      <c r="B28" s="12" t="s">
        <v>14</v>
      </c>
      <c r="C28" s="13" t="s">
        <v>34</v>
      </c>
      <c r="D28" s="13" t="s">
        <v>35</v>
      </c>
      <c r="E28" s="22">
        <v>35</v>
      </c>
      <c r="F28" s="23">
        <v>1.53</v>
      </c>
      <c r="G28" s="23">
        <f>229.7*0.35</f>
        <v>80.394999999999996</v>
      </c>
      <c r="H28" s="14">
        <f>6.7*0.35</f>
        <v>2.3449999999999998</v>
      </c>
      <c r="I28" s="14">
        <f>1.1*0.35</f>
        <v>0.38500000000000001</v>
      </c>
      <c r="J28" s="15">
        <f>48.3*0.35</f>
        <v>16.904999999999998</v>
      </c>
    </row>
    <row r="29" spans="1:10" ht="16.5" thickBot="1" x14ac:dyDescent="0.3">
      <c r="A29" s="66" t="s">
        <v>15</v>
      </c>
      <c r="B29" s="85"/>
      <c r="C29" s="85"/>
      <c r="D29" s="85"/>
      <c r="E29" s="86"/>
      <c r="F29" s="41">
        <f>SUM(F22:F28)</f>
        <v>77.000000000000014</v>
      </c>
      <c r="G29" s="41">
        <f>SUM(G22:G28)</f>
        <v>822.39499999999998</v>
      </c>
      <c r="H29" s="41">
        <f>SUM(H22:H28)</f>
        <v>24.067499999999999</v>
      </c>
      <c r="I29" s="41">
        <f>SUM(I22:I28)</f>
        <v>32.466500000000003</v>
      </c>
      <c r="J29" s="41">
        <f>SUM(J22:J28)</f>
        <v>105.25399999999999</v>
      </c>
    </row>
    <row r="31" spans="1:10" ht="15.75" thickBot="1" x14ac:dyDescent="0.3">
      <c r="A31" s="59" t="s">
        <v>26</v>
      </c>
      <c r="B31" s="59"/>
      <c r="C31" s="59"/>
      <c r="D31" s="59"/>
      <c r="E31" s="59"/>
      <c r="F31" s="59"/>
      <c r="G31" s="59"/>
      <c r="H31" s="59"/>
      <c r="I31" s="59"/>
      <c r="J31" s="59"/>
    </row>
    <row r="32" spans="1:10" ht="15.75" x14ac:dyDescent="0.25">
      <c r="A32" s="28"/>
      <c r="B32" s="28"/>
      <c r="C32" s="58" t="s">
        <v>24</v>
      </c>
      <c r="D32" s="58"/>
      <c r="G32" s="60"/>
      <c r="H32" s="60"/>
      <c r="I32" s="60"/>
      <c r="J32" s="60"/>
    </row>
    <row r="33" spans="1:4" x14ac:dyDescent="0.25">
      <c r="A33" s="1"/>
      <c r="B33" s="1"/>
      <c r="C33" s="1"/>
      <c r="D33" s="1"/>
    </row>
    <row r="34" spans="1:4" x14ac:dyDescent="0.25">
      <c r="A34" s="73" t="s">
        <v>25</v>
      </c>
      <c r="B34" s="73"/>
    </row>
    <row r="35" spans="1:4" x14ac:dyDescent="0.25">
      <c r="A35" s="73" t="s">
        <v>27</v>
      </c>
      <c r="B35" s="73"/>
    </row>
    <row r="36" spans="1:4" x14ac:dyDescent="0.25">
      <c r="A36" s="4"/>
    </row>
  </sheetData>
  <mergeCells count="17">
    <mergeCell ref="A34:B34"/>
    <mergeCell ref="A35:B35"/>
    <mergeCell ref="A9:A11"/>
    <mergeCell ref="A12:E12"/>
    <mergeCell ref="A13:A14"/>
    <mergeCell ref="A15:E15"/>
    <mergeCell ref="A22:A28"/>
    <mergeCell ref="A29:E29"/>
    <mergeCell ref="A31:J31"/>
    <mergeCell ref="C32:D32"/>
    <mergeCell ref="G32:J32"/>
    <mergeCell ref="A21:E21"/>
    <mergeCell ref="B1:C1"/>
    <mergeCell ref="G1:J1"/>
    <mergeCell ref="A3:A7"/>
    <mergeCell ref="A8:E8"/>
    <mergeCell ref="A16:A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2022-09-30T10:28:38Z</dcterms:modified>
</cp:coreProperties>
</file>