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I23" i="2"/>
  <c r="H23" i="2"/>
  <c r="G23" i="2"/>
  <c r="J22" i="2"/>
  <c r="I22" i="2"/>
  <c r="H22" i="2"/>
  <c r="G22" i="2"/>
  <c r="J20" i="2"/>
  <c r="I20" i="2"/>
  <c r="H20" i="2"/>
  <c r="G20" i="2"/>
  <c r="J19" i="2"/>
  <c r="I19" i="2"/>
  <c r="H19" i="2"/>
  <c r="G19" i="2"/>
  <c r="J29" i="2"/>
  <c r="I29" i="2"/>
  <c r="H29" i="2"/>
  <c r="G29" i="2"/>
  <c r="J27" i="2"/>
  <c r="I27" i="2"/>
  <c r="H27" i="2"/>
  <c r="G27" i="2"/>
  <c r="J26" i="2"/>
  <c r="I26" i="2"/>
  <c r="H26" i="2"/>
  <c r="G26" i="2"/>
  <c r="J25" i="2"/>
  <c r="I25" i="2"/>
  <c r="H25" i="2"/>
  <c r="G25" i="2"/>
  <c r="G15" i="2"/>
  <c r="J15" i="2"/>
  <c r="I15" i="2"/>
  <c r="H15" i="2"/>
  <c r="J23" i="1" l="1"/>
  <c r="I23" i="1"/>
  <c r="H23" i="1"/>
  <c r="G23" i="1"/>
  <c r="J13" i="2"/>
  <c r="I13" i="2"/>
  <c r="H13" i="2"/>
  <c r="G13" i="2"/>
  <c r="J8" i="2"/>
  <c r="I8" i="2"/>
  <c r="H8" i="2"/>
  <c r="G8" i="2"/>
  <c r="J4" i="2"/>
  <c r="I4" i="2"/>
  <c r="H4" i="2"/>
  <c r="G4" i="2"/>
  <c r="J3" i="2"/>
  <c r="I3" i="2"/>
  <c r="H3" i="2"/>
  <c r="G3" i="2"/>
  <c r="J25" i="1"/>
  <c r="I25" i="1"/>
  <c r="H25" i="1"/>
  <c r="G25" i="1"/>
  <c r="J21" i="1"/>
  <c r="I21" i="1"/>
  <c r="H21" i="1"/>
  <c r="G21" i="1"/>
  <c r="J14" i="1"/>
  <c r="I14" i="1"/>
  <c r="H14" i="1"/>
  <c r="G14" i="1"/>
  <c r="J19" i="1"/>
  <c r="I19" i="1"/>
  <c r="H19" i="1"/>
  <c r="G19" i="1"/>
  <c r="J18" i="1"/>
  <c r="I18" i="1"/>
  <c r="H18" i="1"/>
  <c r="G18" i="1"/>
  <c r="J16" i="1"/>
  <c r="I16" i="1"/>
  <c r="H16" i="1"/>
  <c r="G16" i="1"/>
  <c r="J11" i="1"/>
  <c r="I11" i="1"/>
  <c r="H11" i="1"/>
  <c r="G11" i="1"/>
  <c r="J12" i="1"/>
  <c r="I12" i="1"/>
  <c r="H12" i="1"/>
  <c r="G12" i="1"/>
  <c r="J8" i="1" l="1"/>
  <c r="I8" i="1"/>
  <c r="H8" i="1"/>
  <c r="G8" i="1"/>
  <c r="J7" i="1"/>
  <c r="I7" i="1"/>
  <c r="H7" i="1"/>
  <c r="G7" i="1"/>
  <c r="J5" i="2" l="1"/>
  <c r="I5" i="2"/>
  <c r="H5" i="2"/>
  <c r="G5" i="2"/>
  <c r="J3" i="1"/>
  <c r="I3" i="1"/>
  <c r="H3" i="1"/>
  <c r="G3" i="1"/>
  <c r="J18" i="2" l="1"/>
  <c r="I18" i="2"/>
  <c r="H18" i="2"/>
  <c r="G18" i="2"/>
  <c r="J10" i="2"/>
  <c r="I10" i="2"/>
  <c r="H10" i="2"/>
  <c r="G10" i="2"/>
  <c r="J11" i="2" l="1"/>
  <c r="I11" i="2"/>
  <c r="H11" i="2"/>
  <c r="G11" i="2"/>
  <c r="J6" i="2"/>
  <c r="I6" i="2"/>
  <c r="H6" i="2"/>
  <c r="G6" i="2"/>
  <c r="J4" i="1"/>
  <c r="I4" i="1"/>
  <c r="H4" i="1"/>
  <c r="G4" i="1"/>
  <c r="F9" i="1"/>
  <c r="J5" i="1" l="1"/>
  <c r="I5" i="1"/>
  <c r="H5" i="1"/>
  <c r="G5" i="1"/>
  <c r="J17" i="1" l="1"/>
  <c r="I17" i="1"/>
  <c r="H17" i="1"/>
  <c r="G17" i="1"/>
  <c r="J10" i="1"/>
  <c r="I10" i="1"/>
  <c r="H10" i="1"/>
  <c r="G10" i="1"/>
  <c r="G24" i="2" l="1"/>
  <c r="H24" i="2"/>
  <c r="I24" i="2"/>
  <c r="J24" i="2"/>
  <c r="F24" i="2"/>
  <c r="H9" i="2"/>
  <c r="G9" i="2"/>
  <c r="I9" i="2"/>
  <c r="J9" i="2"/>
  <c r="F9" i="2"/>
  <c r="G15" i="1" l="1"/>
  <c r="H15" i="1"/>
  <c r="I15" i="1"/>
  <c r="J15" i="1"/>
  <c r="F15" i="1"/>
  <c r="F30" i="2" l="1"/>
  <c r="F22" i="1"/>
  <c r="J22" i="1" l="1"/>
  <c r="I22" i="1"/>
  <c r="H22" i="1"/>
  <c r="G22" i="1"/>
  <c r="J9" i="1"/>
  <c r="I9" i="1"/>
  <c r="H9" i="1"/>
  <c r="G9" i="1"/>
  <c r="F26" i="1" l="1"/>
  <c r="J26" i="1"/>
  <c r="I26" i="1"/>
  <c r="H26" i="1"/>
  <c r="G26" i="1"/>
  <c r="G17" i="2" l="1"/>
  <c r="J30" i="2" l="1"/>
  <c r="H30" i="2"/>
  <c r="G30" i="2"/>
  <c r="I30" i="2"/>
  <c r="F17" i="2" l="1"/>
  <c r="H17" i="2"/>
  <c r="F14" i="2"/>
  <c r="G14" i="2" l="1"/>
  <c r="I14" i="2"/>
  <c r="J17" i="2"/>
  <c r="H14" i="2"/>
  <c r="J14" i="2"/>
  <c r="I17" i="2"/>
</calcChain>
</file>

<file path=xl/sharedStrings.xml><?xml version="1.0" encoding="utf-8"?>
<sst xmlns="http://schemas.openxmlformats.org/spreadsheetml/2006/main" count="199" uniqueCount="74">
  <si>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</si>
  <si>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</si>
  <si>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</si>
  <si>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</si>
  <si>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</si>
  <si>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</si>
  <si>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</si>
  <si>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</si>
  <si>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</si>
  <si>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</si>
  <si>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</si>
  <si>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</si>
  <si>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</si>
  <si>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</si>
  <si>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</si>
  <si>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</si>
  <si>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</si>
  <si>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</si>
  <si>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</si>
  <si>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</si>
  <si>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</si>
  <si>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</si>
  <si>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</si>
  <si>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</si>
  <si>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</si>
  <si>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</si>
  <si>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</si>
  <si>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</si>
  <si>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</si>
  <si>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</si>
  <si>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</si>
  <si>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</si>
  <si>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</si>
  <si>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</si>
  <si>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</si>
  <si>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</si>
  <si>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</si>
  <si>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>Фрукт</t>
  </si>
  <si>
    <t>№338-2015г.</t>
  </si>
  <si>
    <t>Пюре картофельное</t>
  </si>
  <si>
    <t>№312-2015г.</t>
  </si>
  <si>
    <t>Бутерброд с маслом</t>
  </si>
  <si>
    <t>№1-2015г.</t>
  </si>
  <si>
    <t>Напиток (сладкое блюдо)</t>
  </si>
  <si>
    <t>№342-2015г.</t>
  </si>
  <si>
    <t>Компот из свежих груш</t>
  </si>
  <si>
    <t>№268-2015г.</t>
  </si>
  <si>
    <t>Котлета из свинины</t>
  </si>
  <si>
    <t>№102-2015г.</t>
  </si>
  <si>
    <t>Суп картофельный с горохом с зеленью</t>
  </si>
  <si>
    <t>250/2</t>
  </si>
  <si>
    <t>Апельсин свежий (порция)</t>
  </si>
  <si>
    <t>№306-2015г.</t>
  </si>
  <si>
    <t>Бобовые отварные (горошек зелёный консервированный)</t>
  </si>
  <si>
    <t>Обед дети-инвалиды 5-11 кл 1 смена</t>
  </si>
  <si>
    <t>ТТК №48</t>
  </si>
  <si>
    <t>Филе индейки тушёное</t>
  </si>
  <si>
    <t>40/40</t>
  </si>
  <si>
    <t>Завтрак 5-11 кл с доплатой 70,00 руб. и льготники с доплатой 50,00 руб. 1 смена</t>
  </si>
  <si>
    <t>№71-2015г.</t>
  </si>
  <si>
    <t>Овощи натуральные свежие (помидоры)</t>
  </si>
  <si>
    <t>№424-2015г.</t>
  </si>
  <si>
    <t>Булочка домашняя</t>
  </si>
  <si>
    <t>ТТК №54</t>
  </si>
  <si>
    <t>Бутерброд с красной рыбой сл/с</t>
  </si>
  <si>
    <t>№309-2015г.</t>
  </si>
  <si>
    <t>Макароны отварные</t>
  </si>
  <si>
    <t>12/15</t>
  </si>
  <si>
    <t>5/25</t>
  </si>
  <si>
    <t>50/50</t>
  </si>
  <si>
    <t>№2-2015г.</t>
  </si>
  <si>
    <t>Бутерброд с повидлом</t>
  </si>
  <si>
    <t>15/20</t>
  </si>
  <si>
    <t>Обед 6-7 кл. с доплатой 70,00 руб. и льготники с доплатой 50,00 руб. 2-я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</si>
</sst>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2" fontId="5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2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 wrapText="1"/>
    </xf>
    <xf numFmtId="2" fontId="4" fillId="0" borderId="16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2" fontId="5" fillId="0" borderId="22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2" fontId="8" fillId="0" borderId="5" xfId="0" applyNumberFormat="1" applyFont="1" applyBorder="1" applyAlignment="1">
      <alignment horizontal="right" vertical="center" wrapText="1"/>
    </xf>
    <xf numFmtId="2" fontId="8" fillId="0" borderId="13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/>
    <xf numFmtId="0" fontId="4" fillId="0" borderId="0" xfId="0" applyFont="1"/>
    <xf numFmtId="2" fontId="8" fillId="0" borderId="10" xfId="0" applyNumberFormat="1" applyFont="1" applyBorder="1" applyAlignment="1">
      <alignment horizontal="right" vertical="center" wrapText="1"/>
    </xf>
    <xf numFmtId="2" fontId="8" fillId="0" borderId="11" xfId="0" applyNumberFormat="1" applyFont="1" applyBorder="1" applyAlignment="1">
      <alignment horizontal="right" vertical="center" wrapText="1"/>
    </xf>
    <xf numFmtId="2" fontId="4" fillId="0" borderId="16" xfId="0" applyNumberFormat="1" applyFont="1" applyBorder="1" applyAlignment="1">
      <alignment horizontal="righ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3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/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horizontal="right" vertical="center" wrapText="1"/>
    </xf>
    <xf numFmtId="2" fontId="4" fillId="0" borderId="39" xfId="0" applyNumberFormat="1" applyFont="1" applyBorder="1" applyAlignment="1">
      <alignment horizontal="right" vertical="center" wrapText="1"/>
    </xf>
    <xf numFmtId="2" fontId="4" fillId="0" borderId="39" xfId="0" applyNumberFormat="1" applyFont="1" applyBorder="1" applyAlignment="1">
      <alignment vertical="center" wrapText="1"/>
    </xf>
    <xf numFmtId="2" fontId="4" fillId="0" borderId="40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0" xfId="0" applyFont="1"/>
    <xf numFmtId="4" fontId="4" fillId="0" borderId="15" xfId="0" applyNumberFormat="1" applyFont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0" xfId="0" applyFont="1"/>
    <xf numFmtId="49" fontId="4" fillId="0" borderId="10" xfId="0" applyNumberFormat="1" applyFont="1" applyBorder="1" applyAlignment="1">
      <alignment horizontal="right" vertical="center" wrapText="1"/>
    </xf>
    <xf numFmtId="2" fontId="8" fillId="0" borderId="5" xfId="1" applyNumberFormat="1" applyFont="1" applyBorder="1" applyAlignment="1">
      <alignment horizontal="righ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0" applyFont="1"/>
    <xf numFmtId="2" fontId="5" fillId="0" borderId="32" xfId="0" applyNumberFormat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/>
    <xf numFmtId="0" fontId="8" fillId="0" borderId="10" xfId="1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5" xfId="1" applyFont="1" applyBorder="1" applyAlignment="1">
      <alignment horizontal="left" vertical="center" wrapText="1"/>
    </xf>
    <xf numFmtId="0" fontId="8" fillId="0" borderId="5" xfId="1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5" fillId="0" borderId="47" xfId="0" applyNumberFormat="1" applyFont="1" applyBorder="1" applyAlignment="1">
      <alignment vertical="center" wrapText="1"/>
    </xf>
    <xf numFmtId="2" fontId="4" fillId="0" borderId="13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14" fontId="7" fillId="0" borderId="2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37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46" xfId="0" applyFont="1" applyBorder="1" applyAlignment="1">
      <alignment horizontal="right" vertical="center" wrapText="1"/>
    </xf>
    <xf numFmtId="0" fontId="5" fillId="0" borderId="47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right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workbookViewId="0">
      <selection activeCell="B18" sqref="B18:J19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92" t="s">
        <v>22</v>
      </c>
      <c r="C1" s="93"/>
      <c r="D1" s="1" t="s">
        <v>1</v>
      </c>
      <c r="E1" s="27"/>
      <c r="F1" s="1" t="s">
        <v>2</v>
      </c>
      <c r="G1" s="94">
        <v>44839</v>
      </c>
      <c r="H1" s="95"/>
      <c r="I1" s="95"/>
      <c r="J1" s="96"/>
      <c r="K1" s="1"/>
      <c r="L1" s="1"/>
    </row>
    <row r="2" spans="1:12" ht="15.75" thickBot="1" x14ac:dyDescent="0.3">
      <c r="A2" s="34" t="s">
        <v>3</v>
      </c>
      <c r="B2" s="5" t="s">
        <v>4</v>
      </c>
      <c r="C2" s="35" t="s">
        <v>5</v>
      </c>
      <c r="D2" s="39" t="s">
        <v>6</v>
      </c>
      <c r="E2" s="39" t="s">
        <v>7</v>
      </c>
      <c r="F2" s="39" t="s">
        <v>8</v>
      </c>
      <c r="G2" s="5" t="s">
        <v>9</v>
      </c>
      <c r="H2" s="5" t="s">
        <v>10</v>
      </c>
      <c r="I2" s="5" t="s">
        <v>11</v>
      </c>
      <c r="J2" s="36" t="s">
        <v>12</v>
      </c>
    </row>
    <row r="3" spans="1:12" ht="15" customHeight="1" x14ac:dyDescent="0.25">
      <c r="A3" s="83" t="s">
        <v>27</v>
      </c>
      <c r="B3" s="21" t="s">
        <v>13</v>
      </c>
      <c r="C3" s="22" t="s">
        <v>55</v>
      </c>
      <c r="D3" s="22" t="s">
        <v>56</v>
      </c>
      <c r="E3" s="14" t="s">
        <v>57</v>
      </c>
      <c r="F3" s="15">
        <v>35.979999999999997</v>
      </c>
      <c r="G3" s="31">
        <f>151.2*0.8</f>
        <v>120.96</v>
      </c>
      <c r="H3" s="31">
        <f>15.6*0.8</f>
        <v>12.48</v>
      </c>
      <c r="I3" s="31">
        <f>8.4*0.8</f>
        <v>6.7200000000000006</v>
      </c>
      <c r="J3" s="32">
        <f>3.3*0.8</f>
        <v>2.64</v>
      </c>
    </row>
    <row r="4" spans="1:12" s="45" customFormat="1" ht="15" customHeight="1" x14ac:dyDescent="0.25">
      <c r="A4" s="83"/>
      <c r="B4" s="8" t="s">
        <v>17</v>
      </c>
      <c r="C4" s="64" t="s">
        <v>40</v>
      </c>
      <c r="D4" s="67" t="s">
        <v>39</v>
      </c>
      <c r="E4" s="17">
        <v>150</v>
      </c>
      <c r="F4" s="7">
        <v>14.41</v>
      </c>
      <c r="G4" s="63">
        <f>915*0.15</f>
        <v>137.25</v>
      </c>
      <c r="H4" s="63">
        <f>20.43*0.15</f>
        <v>3.0644999999999998</v>
      </c>
      <c r="I4" s="63">
        <f>32.01*0.15</f>
        <v>4.8014999999999999</v>
      </c>
      <c r="J4" s="68">
        <f>136.26*0.15</f>
        <v>20.438999999999997</v>
      </c>
    </row>
    <row r="5" spans="1:12" s="65" customFormat="1" x14ac:dyDescent="0.25">
      <c r="A5" s="83"/>
      <c r="B5" s="8" t="s">
        <v>43</v>
      </c>
      <c r="C5" s="6" t="s">
        <v>44</v>
      </c>
      <c r="D5" s="6" t="s">
        <v>45</v>
      </c>
      <c r="E5" s="17">
        <v>200</v>
      </c>
      <c r="F5" s="7">
        <v>10.27</v>
      </c>
      <c r="G5" s="7">
        <f>573*0.2</f>
        <v>114.60000000000001</v>
      </c>
      <c r="H5" s="7">
        <f>0.8*0.2</f>
        <v>0.16000000000000003</v>
      </c>
      <c r="I5" s="7">
        <f>0.6*0.2</f>
        <v>0.12</v>
      </c>
      <c r="J5" s="9">
        <f>140.4*0.2</f>
        <v>28.080000000000002</v>
      </c>
      <c r="K5"/>
    </row>
    <row r="6" spans="1:12" s="45" customFormat="1" ht="15" customHeight="1" x14ac:dyDescent="0.25">
      <c r="A6" s="83"/>
      <c r="B6" s="8" t="s">
        <v>21</v>
      </c>
      <c r="C6" s="52" t="s">
        <v>61</v>
      </c>
      <c r="D6" s="6" t="s">
        <v>62</v>
      </c>
      <c r="E6" s="17">
        <v>50</v>
      </c>
      <c r="F6" s="7">
        <v>4.67</v>
      </c>
      <c r="G6" s="53">
        <v>159</v>
      </c>
      <c r="H6" s="53">
        <v>3.64</v>
      </c>
      <c r="I6" s="53">
        <v>6.26</v>
      </c>
      <c r="J6" s="54">
        <v>21.96</v>
      </c>
    </row>
    <row r="7" spans="1:12" s="65" customFormat="1" x14ac:dyDescent="0.25">
      <c r="A7" s="83"/>
      <c r="B7" s="46" t="s">
        <v>14</v>
      </c>
      <c r="C7" s="47" t="s">
        <v>32</v>
      </c>
      <c r="D7" s="47" t="s">
        <v>33</v>
      </c>
      <c r="E7" s="48">
        <v>27.5</v>
      </c>
      <c r="F7" s="49">
        <v>1.2</v>
      </c>
      <c r="G7" s="49">
        <f>229.7*0.275</f>
        <v>63.167500000000004</v>
      </c>
      <c r="H7" s="50">
        <f>6.7*0.275</f>
        <v>1.8425000000000002</v>
      </c>
      <c r="I7" s="50">
        <f>1.1*0.275</f>
        <v>0.30250000000000005</v>
      </c>
      <c r="J7" s="51">
        <f>48.3*0.275</f>
        <v>13.282500000000001</v>
      </c>
    </row>
    <row r="8" spans="1:12" s="41" customFormat="1" ht="15.75" thickBot="1" x14ac:dyDescent="0.3">
      <c r="A8" s="83"/>
      <c r="B8" s="10" t="s">
        <v>37</v>
      </c>
      <c r="C8" s="11" t="s">
        <v>38</v>
      </c>
      <c r="D8" s="11" t="s">
        <v>51</v>
      </c>
      <c r="E8" s="18">
        <v>150</v>
      </c>
      <c r="F8" s="19">
        <v>30.62</v>
      </c>
      <c r="G8" s="56">
        <f>43*1.5</f>
        <v>64.5</v>
      </c>
      <c r="H8" s="56">
        <f>0.9*1.5</f>
        <v>1.35</v>
      </c>
      <c r="I8" s="56">
        <f>0.2*1.5</f>
        <v>0.30000000000000004</v>
      </c>
      <c r="J8" s="57">
        <f>8.1*1.5</f>
        <v>12.149999999999999</v>
      </c>
    </row>
    <row r="9" spans="1:12" ht="16.5" thickBot="1" x14ac:dyDescent="0.3">
      <c r="A9" s="100" t="s">
        <v>15</v>
      </c>
      <c r="B9" s="101"/>
      <c r="C9" s="101"/>
      <c r="D9" s="101"/>
      <c r="E9" s="102"/>
      <c r="F9" s="66">
        <f>SUM(F3:F8)</f>
        <v>97.15</v>
      </c>
      <c r="G9" s="66">
        <f>SUM(G3:G8)</f>
        <v>659.47749999999996</v>
      </c>
      <c r="H9" s="66">
        <f>SUM(H3:H8)</f>
        <v>22.537000000000003</v>
      </c>
      <c r="I9" s="66">
        <f>SUM(I3:I8)</f>
        <v>18.503999999999998</v>
      </c>
      <c r="J9" s="66">
        <f>SUM(J3:J8)</f>
        <v>98.551500000000004</v>
      </c>
    </row>
    <row r="10" spans="1:12" x14ac:dyDescent="0.25">
      <c r="A10" s="103" t="s">
        <v>28</v>
      </c>
      <c r="B10" s="21" t="s">
        <v>16</v>
      </c>
      <c r="C10" s="22" t="s">
        <v>48</v>
      </c>
      <c r="D10" s="73" t="s">
        <v>49</v>
      </c>
      <c r="E10" s="14" t="s">
        <v>50</v>
      </c>
      <c r="F10" s="15">
        <v>7.26</v>
      </c>
      <c r="G10" s="69">
        <f>593*0.25</f>
        <v>148.25</v>
      </c>
      <c r="H10" s="69">
        <f>21.96*0.25</f>
        <v>5.49</v>
      </c>
      <c r="I10" s="69">
        <f>21.08*0.25</f>
        <v>5.27</v>
      </c>
      <c r="J10" s="70">
        <f>66.14*0.25</f>
        <v>16.535</v>
      </c>
      <c r="K10"/>
    </row>
    <row r="11" spans="1:12" x14ac:dyDescent="0.25">
      <c r="A11" s="103"/>
      <c r="B11" s="8" t="s">
        <v>13</v>
      </c>
      <c r="C11" s="6" t="s">
        <v>46</v>
      </c>
      <c r="D11" s="6" t="s">
        <v>47</v>
      </c>
      <c r="E11" s="17">
        <v>47</v>
      </c>
      <c r="F11" s="7">
        <v>22</v>
      </c>
      <c r="G11" s="25">
        <f>182/50*47</f>
        <v>171.08</v>
      </c>
      <c r="H11" s="25">
        <f>6.74/50*47</f>
        <v>6.3356000000000003</v>
      </c>
      <c r="I11" s="25">
        <f>13.91/50*47</f>
        <v>13.0754</v>
      </c>
      <c r="J11" s="26">
        <f>7.09/50*47</f>
        <v>6.6646000000000001</v>
      </c>
      <c r="K11"/>
    </row>
    <row r="12" spans="1:12" s="65" customFormat="1" ht="15" customHeight="1" x14ac:dyDescent="0.25">
      <c r="A12" s="103"/>
      <c r="B12" s="8" t="s">
        <v>17</v>
      </c>
      <c r="C12" s="6" t="s">
        <v>65</v>
      </c>
      <c r="D12" s="6" t="s">
        <v>66</v>
      </c>
      <c r="E12" s="17">
        <v>100</v>
      </c>
      <c r="F12" s="7">
        <v>9.56</v>
      </c>
      <c r="G12" s="80">
        <f>112.3*1</f>
        <v>112.3</v>
      </c>
      <c r="H12" s="80">
        <f>3.68*1</f>
        <v>3.68</v>
      </c>
      <c r="I12" s="80">
        <f>3.01*1</f>
        <v>3.01</v>
      </c>
      <c r="J12" s="81">
        <f>17.63*1</f>
        <v>17.63</v>
      </c>
    </row>
    <row r="13" spans="1:12" s="29" customFormat="1" x14ac:dyDescent="0.25">
      <c r="A13" s="103"/>
      <c r="B13" s="8" t="s">
        <v>18</v>
      </c>
      <c r="C13" s="6" t="s">
        <v>19</v>
      </c>
      <c r="D13" s="6" t="s">
        <v>20</v>
      </c>
      <c r="E13" s="17" t="s">
        <v>34</v>
      </c>
      <c r="F13" s="7">
        <v>2.31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103"/>
      <c r="B14" s="10" t="s">
        <v>14</v>
      </c>
      <c r="C14" s="11" t="s">
        <v>32</v>
      </c>
      <c r="D14" s="11" t="s">
        <v>33</v>
      </c>
      <c r="E14" s="18">
        <v>26.5</v>
      </c>
      <c r="F14" s="19">
        <v>1.1599999999999999</v>
      </c>
      <c r="G14" s="19">
        <f>229.7*0.265</f>
        <v>60.8705</v>
      </c>
      <c r="H14" s="12">
        <f>6.7*0.265</f>
        <v>1.7755000000000001</v>
      </c>
      <c r="I14" s="12">
        <f>1.1*0.265</f>
        <v>0.29150000000000004</v>
      </c>
      <c r="J14" s="13">
        <f>48.3*0.265</f>
        <v>12.7995</v>
      </c>
    </row>
    <row r="15" spans="1:12" ht="16.5" thickBot="1" x14ac:dyDescent="0.3">
      <c r="A15" s="104" t="s">
        <v>15</v>
      </c>
      <c r="B15" s="105"/>
      <c r="C15" s="105"/>
      <c r="D15" s="105"/>
      <c r="E15" s="106"/>
      <c r="F15" s="20">
        <f>SUM(F10:F14)</f>
        <v>42.29</v>
      </c>
      <c r="G15" s="20">
        <f t="shared" ref="G15:J15" si="0">SUM(G10:G14)</f>
        <v>552.5005000000001</v>
      </c>
      <c r="H15" s="20">
        <f t="shared" si="0"/>
        <v>17.351100000000002</v>
      </c>
      <c r="I15" s="20">
        <f t="shared" si="0"/>
        <v>21.666899999999995</v>
      </c>
      <c r="J15" s="20">
        <f t="shared" si="0"/>
        <v>68.629099999999994</v>
      </c>
    </row>
    <row r="16" spans="1:12" s="65" customFormat="1" ht="15" customHeight="1" x14ac:dyDescent="0.25">
      <c r="A16" s="89" t="s">
        <v>29</v>
      </c>
      <c r="B16" s="60" t="s">
        <v>31</v>
      </c>
      <c r="C16" s="59" t="s">
        <v>63</v>
      </c>
      <c r="D16" s="59" t="s">
        <v>64</v>
      </c>
      <c r="E16" s="62" t="s">
        <v>67</v>
      </c>
      <c r="F16" s="15">
        <v>49.68</v>
      </c>
      <c r="G16" s="15">
        <f>202*0.12+280*0.15</f>
        <v>66.239999999999995</v>
      </c>
      <c r="H16" s="15">
        <f>22.5*0.12+8*0.15</f>
        <v>3.8999999999999995</v>
      </c>
      <c r="I16" s="15">
        <f>12.5*0.12+3*0.15</f>
        <v>1.95</v>
      </c>
      <c r="J16" s="16">
        <f>0+54*0.15</f>
        <v>8.1</v>
      </c>
    </row>
    <row r="17" spans="1:11" s="40" customFormat="1" x14ac:dyDescent="0.25">
      <c r="A17" s="90"/>
      <c r="B17" s="8" t="s">
        <v>16</v>
      </c>
      <c r="C17" s="6" t="s">
        <v>48</v>
      </c>
      <c r="D17" s="76" t="s">
        <v>49</v>
      </c>
      <c r="E17" s="17" t="s">
        <v>50</v>
      </c>
      <c r="F17" s="7">
        <v>7.26</v>
      </c>
      <c r="G17" s="63">
        <f>593*0.25</f>
        <v>148.25</v>
      </c>
      <c r="H17" s="63">
        <f>21.96*0.25</f>
        <v>5.49</v>
      </c>
      <c r="I17" s="63">
        <f>21.08*0.25</f>
        <v>5.27</v>
      </c>
      <c r="J17" s="68">
        <f>66.14*0.25</f>
        <v>16.535</v>
      </c>
    </row>
    <row r="18" spans="1:11" s="55" customFormat="1" x14ac:dyDescent="0.25">
      <c r="A18" s="90"/>
      <c r="B18" s="8" t="s">
        <v>13</v>
      </c>
      <c r="C18" s="6" t="s">
        <v>46</v>
      </c>
      <c r="D18" s="6" t="s">
        <v>47</v>
      </c>
      <c r="E18" s="17">
        <v>60</v>
      </c>
      <c r="F18" s="7">
        <v>28.09</v>
      </c>
      <c r="G18" s="25">
        <f>182/50*60</f>
        <v>218.4</v>
      </c>
      <c r="H18" s="25">
        <f>6.74/50*60</f>
        <v>8.088000000000001</v>
      </c>
      <c r="I18" s="25">
        <f>13.91/50*60</f>
        <v>16.692</v>
      </c>
      <c r="J18" s="26">
        <f>7.09/50*60</f>
        <v>8.5080000000000009</v>
      </c>
      <c r="K18"/>
    </row>
    <row r="19" spans="1:11" s="65" customFormat="1" ht="15" customHeight="1" x14ac:dyDescent="0.25">
      <c r="A19" s="90"/>
      <c r="B19" s="8" t="s">
        <v>17</v>
      </c>
      <c r="C19" s="6" t="s">
        <v>65</v>
      </c>
      <c r="D19" s="6" t="s">
        <v>66</v>
      </c>
      <c r="E19" s="17">
        <v>100</v>
      </c>
      <c r="F19" s="7">
        <v>9.56</v>
      </c>
      <c r="G19" s="80">
        <f>112.3*1</f>
        <v>112.3</v>
      </c>
      <c r="H19" s="80">
        <f>3.68*1</f>
        <v>3.68</v>
      </c>
      <c r="I19" s="80">
        <f>3.01*1</f>
        <v>3.01</v>
      </c>
      <c r="J19" s="81">
        <f>17.63*1</f>
        <v>17.63</v>
      </c>
    </row>
    <row r="20" spans="1:11" s="37" customFormat="1" x14ac:dyDescent="0.25">
      <c r="A20" s="90"/>
      <c r="B20" s="8" t="s">
        <v>18</v>
      </c>
      <c r="C20" s="6" t="s">
        <v>19</v>
      </c>
      <c r="D20" s="6" t="s">
        <v>20</v>
      </c>
      <c r="E20" s="17" t="s">
        <v>34</v>
      </c>
      <c r="F20" s="7">
        <v>2.31</v>
      </c>
      <c r="G20" s="7">
        <v>60</v>
      </c>
      <c r="H20" s="7">
        <v>7.0000000000000007E-2</v>
      </c>
      <c r="I20" s="7">
        <v>0.02</v>
      </c>
      <c r="J20" s="9">
        <v>15</v>
      </c>
    </row>
    <row r="21" spans="1:11" s="37" customFormat="1" ht="15.75" thickBot="1" x14ac:dyDescent="0.3">
      <c r="A21" s="91"/>
      <c r="B21" s="10" t="s">
        <v>14</v>
      </c>
      <c r="C21" s="11" t="s">
        <v>32</v>
      </c>
      <c r="D21" s="11" t="s">
        <v>33</v>
      </c>
      <c r="E21" s="18">
        <v>6</v>
      </c>
      <c r="F21" s="19">
        <v>0.25</v>
      </c>
      <c r="G21" s="19">
        <f>229.7*0.06</f>
        <v>13.781999999999998</v>
      </c>
      <c r="H21" s="12">
        <f>6.7*0.06</f>
        <v>0.40199999999999997</v>
      </c>
      <c r="I21" s="12">
        <f>1.1*0.06</f>
        <v>6.6000000000000003E-2</v>
      </c>
      <c r="J21" s="13">
        <f>48.3*0.06</f>
        <v>2.8979999999999997</v>
      </c>
    </row>
    <row r="22" spans="1:11" s="30" customFormat="1" ht="16.5" thickBot="1" x14ac:dyDescent="0.3">
      <c r="A22" s="100" t="s">
        <v>15</v>
      </c>
      <c r="B22" s="105"/>
      <c r="C22" s="105"/>
      <c r="D22" s="105"/>
      <c r="E22" s="107"/>
      <c r="F22" s="20">
        <f>SUM(F16:F21)</f>
        <v>97.15</v>
      </c>
      <c r="G22" s="20">
        <f>SUM(G16:G21)</f>
        <v>618.97199999999998</v>
      </c>
      <c r="H22" s="20">
        <f>SUM(H16:H21)</f>
        <v>21.630000000000003</v>
      </c>
      <c r="I22" s="20">
        <f>SUM(I16:I21)</f>
        <v>27.007999999999996</v>
      </c>
      <c r="J22" s="20">
        <f>SUM(J16:J21)</f>
        <v>68.670999999999992</v>
      </c>
      <c r="K22"/>
    </row>
    <row r="23" spans="1:11" s="55" customFormat="1" x14ac:dyDescent="0.25">
      <c r="A23" s="84" t="s">
        <v>30</v>
      </c>
      <c r="B23" s="74" t="s">
        <v>31</v>
      </c>
      <c r="C23" s="59" t="s">
        <v>42</v>
      </c>
      <c r="D23" s="75" t="s">
        <v>41</v>
      </c>
      <c r="E23" s="62" t="s">
        <v>68</v>
      </c>
      <c r="F23" s="14">
        <v>8.98</v>
      </c>
      <c r="G23" s="15">
        <f>660*0.05+229.7*0.25</f>
        <v>90.424999999999997</v>
      </c>
      <c r="H23" s="15">
        <f>0.8*0.05+6.7*0.25</f>
        <v>1.7150000000000001</v>
      </c>
      <c r="I23" s="15">
        <f>72.5*0.05+1.1*0.25</f>
        <v>3.9</v>
      </c>
      <c r="J23" s="16">
        <f>1.3*0.05+48.3*0.25</f>
        <v>12.139999999999999</v>
      </c>
      <c r="K23"/>
    </row>
    <row r="24" spans="1:11" s="55" customFormat="1" x14ac:dyDescent="0.25">
      <c r="A24" s="85"/>
      <c r="B24" s="8" t="s">
        <v>18</v>
      </c>
      <c r="C24" s="6" t="s">
        <v>19</v>
      </c>
      <c r="D24" s="6" t="s">
        <v>20</v>
      </c>
      <c r="E24" s="17" t="s">
        <v>34</v>
      </c>
      <c r="F24" s="7">
        <v>2.31</v>
      </c>
      <c r="G24" s="7">
        <v>60</v>
      </c>
      <c r="H24" s="7">
        <v>7.0000000000000007E-2</v>
      </c>
      <c r="I24" s="7">
        <v>0.02</v>
      </c>
      <c r="J24" s="9">
        <v>15</v>
      </c>
      <c r="K24"/>
    </row>
    <row r="25" spans="1:11" s="55" customFormat="1" ht="15.75" thickBot="1" x14ac:dyDescent="0.3">
      <c r="A25" s="85"/>
      <c r="B25" s="10" t="s">
        <v>37</v>
      </c>
      <c r="C25" s="11" t="s">
        <v>38</v>
      </c>
      <c r="D25" s="11" t="s">
        <v>51</v>
      </c>
      <c r="E25" s="18">
        <v>194</v>
      </c>
      <c r="F25" s="19">
        <v>31</v>
      </c>
      <c r="G25" s="56">
        <f>43*1.94</f>
        <v>83.42</v>
      </c>
      <c r="H25" s="56">
        <f>0.9*1.94</f>
        <v>1.746</v>
      </c>
      <c r="I25" s="56">
        <f>0.2*1.94</f>
        <v>0.38800000000000001</v>
      </c>
      <c r="J25" s="57">
        <f>8.1*1.94</f>
        <v>15.713999999999999</v>
      </c>
      <c r="K25"/>
    </row>
    <row r="26" spans="1:11" s="55" customFormat="1" ht="16.5" thickBot="1" x14ac:dyDescent="0.3">
      <c r="A26" s="86" t="s">
        <v>15</v>
      </c>
      <c r="B26" s="87"/>
      <c r="C26" s="87"/>
      <c r="D26" s="87"/>
      <c r="E26" s="88"/>
      <c r="F26" s="3">
        <f>SUM(F23:F25)</f>
        <v>42.29</v>
      </c>
      <c r="G26" s="3">
        <f>SUM(G23:G25)</f>
        <v>233.84500000000003</v>
      </c>
      <c r="H26" s="3">
        <f>SUM(H23:H25)</f>
        <v>3.5310000000000001</v>
      </c>
      <c r="I26" s="3">
        <f>SUM(I23:I25)</f>
        <v>4.3079999999999998</v>
      </c>
      <c r="J26" s="3">
        <f>SUM(J23:J25)</f>
        <v>42.853999999999999</v>
      </c>
      <c r="K26"/>
    </row>
    <row r="28" spans="1:11" ht="15.75" thickBot="1" x14ac:dyDescent="0.3">
      <c r="A28" s="98" t="s">
        <v>25</v>
      </c>
      <c r="B28" s="98"/>
      <c r="C28" s="98"/>
      <c r="D28" s="98"/>
      <c r="E28" s="98"/>
      <c r="F28" s="98"/>
      <c r="G28" s="98"/>
      <c r="H28" s="98"/>
      <c r="I28" s="98"/>
      <c r="J28" s="98"/>
    </row>
    <row r="29" spans="1:11" ht="15.75" x14ac:dyDescent="0.25">
      <c r="A29" s="24"/>
      <c r="B29" s="24"/>
      <c r="C29" s="97" t="s">
        <v>23</v>
      </c>
      <c r="D29" s="97"/>
      <c r="G29" s="99"/>
      <c r="H29" s="99"/>
      <c r="I29" s="99"/>
      <c r="J29" s="99"/>
    </row>
    <row r="30" spans="1:11" x14ac:dyDescent="0.25">
      <c r="A30" s="1"/>
      <c r="B30" s="1"/>
      <c r="C30" s="1"/>
      <c r="D30" s="1"/>
    </row>
    <row r="31" spans="1:11" x14ac:dyDescent="0.25">
      <c r="A31" s="82" t="s">
        <v>24</v>
      </c>
      <c r="B31" s="82"/>
    </row>
    <row r="32" spans="1:11" x14ac:dyDescent="0.25">
      <c r="A32" s="82" t="s">
        <v>26</v>
      </c>
      <c r="B32" s="82"/>
    </row>
    <row r="33" spans="1:1" x14ac:dyDescent="0.25">
      <c r="A33" s="4"/>
    </row>
  </sheetData>
  <mergeCells count="15">
    <mergeCell ref="B1:C1"/>
    <mergeCell ref="G1:J1"/>
    <mergeCell ref="C29:D29"/>
    <mergeCell ref="A28:J28"/>
    <mergeCell ref="G29:J29"/>
    <mergeCell ref="A9:E9"/>
    <mergeCell ref="A10:A14"/>
    <mergeCell ref="A15:E15"/>
    <mergeCell ref="A22:E22"/>
    <mergeCell ref="A31:B31"/>
    <mergeCell ref="A32:B32"/>
    <mergeCell ref="A3:A8"/>
    <mergeCell ref="A23:A25"/>
    <mergeCell ref="A26:E26"/>
    <mergeCell ref="A16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6" workbookViewId="0">
      <selection activeCell="J24" sqref="J24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117" t="s">
        <v>22</v>
      </c>
      <c r="C1" s="118"/>
      <c r="D1" s="1" t="s">
        <v>1</v>
      </c>
      <c r="E1" s="27"/>
      <c r="F1" s="1" t="s">
        <v>2</v>
      </c>
      <c r="G1" s="94">
        <v>44839</v>
      </c>
      <c r="H1" s="95"/>
      <c r="I1" s="95"/>
      <c r="J1" s="96"/>
      <c r="K1" s="1"/>
      <c r="L1" s="1"/>
    </row>
    <row r="2" spans="1:12" ht="15.75" thickBot="1" x14ac:dyDescent="0.3">
      <c r="A2" s="34" t="s">
        <v>3</v>
      </c>
      <c r="B2" s="42" t="s">
        <v>4</v>
      </c>
      <c r="C2" s="43" t="s">
        <v>5</v>
      </c>
      <c r="D2" s="43" t="s">
        <v>6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11</v>
      </c>
      <c r="J2" s="44" t="s">
        <v>12</v>
      </c>
    </row>
    <row r="3" spans="1:12" ht="15.75" x14ac:dyDescent="0.25">
      <c r="A3" s="83" t="s">
        <v>58</v>
      </c>
      <c r="B3" s="60" t="s">
        <v>31</v>
      </c>
      <c r="C3" s="59" t="s">
        <v>59</v>
      </c>
      <c r="D3" s="59" t="s">
        <v>60</v>
      </c>
      <c r="E3" s="14">
        <v>20</v>
      </c>
      <c r="F3" s="15">
        <v>1.77</v>
      </c>
      <c r="G3" s="15">
        <f>11/50*20</f>
        <v>4.4000000000000004</v>
      </c>
      <c r="H3" s="15">
        <f>0.55/50*20</f>
        <v>0.22000000000000003</v>
      </c>
      <c r="I3" s="15">
        <f>0.1/50*20</f>
        <v>0.04</v>
      </c>
      <c r="J3" s="16">
        <f>1.9/50*20</f>
        <v>0.76</v>
      </c>
    </row>
    <row r="4" spans="1:12" s="72" customFormat="1" x14ac:dyDescent="0.25">
      <c r="A4" s="83"/>
      <c r="B4" s="8" t="s">
        <v>13</v>
      </c>
      <c r="C4" s="6" t="s">
        <v>55</v>
      </c>
      <c r="D4" s="6" t="s">
        <v>56</v>
      </c>
      <c r="E4" s="17" t="s">
        <v>69</v>
      </c>
      <c r="F4" s="7">
        <v>44.97</v>
      </c>
      <c r="G4" s="25">
        <f>151.2*1</f>
        <v>151.19999999999999</v>
      </c>
      <c r="H4" s="25">
        <f>15.6*1</f>
        <v>15.6</v>
      </c>
      <c r="I4" s="25">
        <f>8.4*1</f>
        <v>8.4</v>
      </c>
      <c r="J4" s="26">
        <f>3.3*1</f>
        <v>3.3</v>
      </c>
    </row>
    <row r="5" spans="1:12" s="41" customFormat="1" ht="15.75" x14ac:dyDescent="0.25">
      <c r="A5" s="83"/>
      <c r="B5" s="8" t="s">
        <v>17</v>
      </c>
      <c r="C5" s="64" t="s">
        <v>40</v>
      </c>
      <c r="D5" s="67" t="s">
        <v>39</v>
      </c>
      <c r="E5" s="17">
        <v>150</v>
      </c>
      <c r="F5" s="7">
        <v>14.41</v>
      </c>
      <c r="G5" s="63">
        <f>915*0.15</f>
        <v>137.25</v>
      </c>
      <c r="H5" s="63">
        <f>20.43*0.15</f>
        <v>3.0644999999999998</v>
      </c>
      <c r="I5" s="63">
        <f>32.01*0.15</f>
        <v>4.8014999999999999</v>
      </c>
      <c r="J5" s="68">
        <f>136.26*0.15</f>
        <v>20.438999999999997</v>
      </c>
    </row>
    <row r="6" spans="1:12" s="45" customFormat="1" x14ac:dyDescent="0.25">
      <c r="A6" s="83"/>
      <c r="B6" s="8" t="s">
        <v>43</v>
      </c>
      <c r="C6" s="6" t="s">
        <v>44</v>
      </c>
      <c r="D6" s="6" t="s">
        <v>45</v>
      </c>
      <c r="E6" s="17">
        <v>200</v>
      </c>
      <c r="F6" s="7">
        <v>10.27</v>
      </c>
      <c r="G6" s="7">
        <f>573*0.2</f>
        <v>114.60000000000001</v>
      </c>
      <c r="H6" s="7">
        <f>0.8*0.2</f>
        <v>0.16000000000000003</v>
      </c>
      <c r="I6" s="7">
        <f>0.6*0.2</f>
        <v>0.12</v>
      </c>
      <c r="J6" s="9">
        <f>140.4*0.2</f>
        <v>28.080000000000002</v>
      </c>
    </row>
    <row r="7" spans="1:12" x14ac:dyDescent="0.25">
      <c r="A7" s="83"/>
      <c r="B7" s="8" t="s">
        <v>21</v>
      </c>
      <c r="C7" s="52" t="s">
        <v>61</v>
      </c>
      <c r="D7" s="6" t="s">
        <v>62</v>
      </c>
      <c r="E7" s="17">
        <v>50</v>
      </c>
      <c r="F7" s="7">
        <v>4.67</v>
      </c>
      <c r="G7" s="53">
        <v>159</v>
      </c>
      <c r="H7" s="53">
        <v>3.64</v>
      </c>
      <c r="I7" s="53">
        <v>6.26</v>
      </c>
      <c r="J7" s="54">
        <v>21.96</v>
      </c>
    </row>
    <row r="8" spans="1:12" ht="15.75" thickBot="1" x14ac:dyDescent="0.3">
      <c r="A8" s="83"/>
      <c r="B8" s="10" t="s">
        <v>14</v>
      </c>
      <c r="C8" s="11" t="s">
        <v>32</v>
      </c>
      <c r="D8" s="11" t="s">
        <v>33</v>
      </c>
      <c r="E8" s="18">
        <v>21</v>
      </c>
      <c r="F8" s="19">
        <v>0.91</v>
      </c>
      <c r="G8" s="19">
        <f>229.7*0.21</f>
        <v>48.236999999999995</v>
      </c>
      <c r="H8" s="12">
        <f>6.7*0.21</f>
        <v>1.407</v>
      </c>
      <c r="I8" s="12">
        <f>1.1*0.21</f>
        <v>0.23100000000000001</v>
      </c>
      <c r="J8" s="13">
        <f>48.3*0.21</f>
        <v>10.142999999999999</v>
      </c>
    </row>
    <row r="9" spans="1:12" ht="16.5" thickBot="1" x14ac:dyDescent="0.3">
      <c r="A9" s="119" t="s">
        <v>15</v>
      </c>
      <c r="B9" s="105"/>
      <c r="C9" s="105"/>
      <c r="D9" s="105"/>
      <c r="E9" s="106"/>
      <c r="F9" s="20">
        <f>SUM(F3:F8)</f>
        <v>77</v>
      </c>
      <c r="G9" s="20">
        <f t="shared" ref="G9:J9" si="0">SUM(G3:G8)</f>
        <v>614.68700000000001</v>
      </c>
      <c r="H9" s="20">
        <f t="shared" si="0"/>
        <v>24.0915</v>
      </c>
      <c r="I9" s="20">
        <f t="shared" si="0"/>
        <v>19.852499999999999</v>
      </c>
      <c r="J9" s="20">
        <f t="shared" si="0"/>
        <v>84.681999999999988</v>
      </c>
    </row>
    <row r="10" spans="1:12" s="28" customFormat="1" ht="30" x14ac:dyDescent="0.25">
      <c r="A10" s="108" t="s">
        <v>35</v>
      </c>
      <c r="B10" s="60" t="s">
        <v>31</v>
      </c>
      <c r="C10" s="59" t="s">
        <v>52</v>
      </c>
      <c r="D10" s="59" t="s">
        <v>53</v>
      </c>
      <c r="E10" s="14">
        <v>12</v>
      </c>
      <c r="F10" s="15">
        <v>8.2899999999999991</v>
      </c>
      <c r="G10" s="15">
        <f>592*0.012</f>
        <v>7.1040000000000001</v>
      </c>
      <c r="H10" s="15">
        <f>28.85*0.012</f>
        <v>0.34620000000000001</v>
      </c>
      <c r="I10" s="15">
        <f>27.24*0.012</f>
        <v>0.32688</v>
      </c>
      <c r="J10" s="16">
        <f>57.86*0.012</f>
        <v>0.69432000000000005</v>
      </c>
      <c r="K10"/>
    </row>
    <row r="11" spans="1:12" s="71" customFormat="1" ht="15.75" x14ac:dyDescent="0.25">
      <c r="A11" s="109"/>
      <c r="B11" s="8" t="s">
        <v>17</v>
      </c>
      <c r="C11" s="64" t="s">
        <v>40</v>
      </c>
      <c r="D11" s="67" t="s">
        <v>39</v>
      </c>
      <c r="E11" s="17">
        <v>150</v>
      </c>
      <c r="F11" s="7">
        <v>14.41</v>
      </c>
      <c r="G11" s="63">
        <f>915*0.15</f>
        <v>137.25</v>
      </c>
      <c r="H11" s="63">
        <f>20.43*0.15</f>
        <v>3.0644999999999998</v>
      </c>
      <c r="I11" s="63">
        <f>32.01*0.15</f>
        <v>4.8014999999999999</v>
      </c>
      <c r="J11" s="68">
        <f>136.26*0.15</f>
        <v>20.438999999999997</v>
      </c>
      <c r="K11"/>
    </row>
    <row r="12" spans="1:12" s="28" customFormat="1" x14ac:dyDescent="0.25">
      <c r="A12" s="109"/>
      <c r="B12" s="8" t="s">
        <v>18</v>
      </c>
      <c r="C12" s="6" t="s">
        <v>19</v>
      </c>
      <c r="D12" s="6" t="s">
        <v>20</v>
      </c>
      <c r="E12" s="17" t="s">
        <v>34</v>
      </c>
      <c r="F12" s="7">
        <v>2.31</v>
      </c>
      <c r="G12" s="7">
        <v>60</v>
      </c>
      <c r="H12" s="7">
        <v>7.0000000000000007E-2</v>
      </c>
      <c r="I12" s="7">
        <v>0.02</v>
      </c>
      <c r="J12" s="9">
        <v>15</v>
      </c>
    </row>
    <row r="13" spans="1:12" s="30" customFormat="1" ht="15.75" thickBot="1" x14ac:dyDescent="0.3">
      <c r="A13" s="110"/>
      <c r="B13" s="10" t="s">
        <v>14</v>
      </c>
      <c r="C13" s="11" t="s">
        <v>32</v>
      </c>
      <c r="D13" s="11" t="s">
        <v>33</v>
      </c>
      <c r="E13" s="18">
        <v>45.5</v>
      </c>
      <c r="F13" s="19">
        <v>1.99</v>
      </c>
      <c r="G13" s="19">
        <f>229.7*0.455</f>
        <v>104.51349999999999</v>
      </c>
      <c r="H13" s="12">
        <f>6.7*0.455</f>
        <v>3.0485000000000002</v>
      </c>
      <c r="I13" s="12">
        <f>1.1*0.455</f>
        <v>0.50050000000000006</v>
      </c>
      <c r="J13" s="13">
        <f>48.3*0.455</f>
        <v>21.976499999999998</v>
      </c>
    </row>
    <row r="14" spans="1:12" ht="16.5" thickBot="1" x14ac:dyDescent="0.3">
      <c r="A14" s="111" t="s">
        <v>15</v>
      </c>
      <c r="B14" s="105"/>
      <c r="C14" s="105"/>
      <c r="D14" s="105"/>
      <c r="E14" s="106"/>
      <c r="F14" s="20">
        <f>SUM(F10:F13)</f>
        <v>26.999999999999996</v>
      </c>
      <c r="G14" s="20">
        <f>SUM(G10:G13)</f>
        <v>308.86750000000001</v>
      </c>
      <c r="H14" s="20">
        <f>SUM(H10:H13)</f>
        <v>6.5291999999999994</v>
      </c>
      <c r="I14" s="20">
        <f>SUM(I10:I13)</f>
        <v>5.6488799999999992</v>
      </c>
      <c r="J14" s="20">
        <f>SUM(J10:J13)</f>
        <v>58.109819999999999</v>
      </c>
    </row>
    <row r="15" spans="1:12" s="29" customFormat="1" ht="30.75" customHeight="1" x14ac:dyDescent="0.25">
      <c r="A15" s="89" t="s">
        <v>36</v>
      </c>
      <c r="B15" s="21" t="s">
        <v>31</v>
      </c>
      <c r="C15" s="22" t="s">
        <v>70</v>
      </c>
      <c r="D15" s="22" t="s">
        <v>71</v>
      </c>
      <c r="E15" s="14" t="s">
        <v>72</v>
      </c>
      <c r="F15" s="15">
        <v>4.6900000000000004</v>
      </c>
      <c r="G15" s="15">
        <f>250*0.15+229.7*0.2</f>
        <v>83.44</v>
      </c>
      <c r="H15" s="15">
        <f>0.4*0.15+6.7*0.2</f>
        <v>1.4000000000000001</v>
      </c>
      <c r="I15" s="15">
        <f>0+1.1*0.2</f>
        <v>0.22000000000000003</v>
      </c>
      <c r="J15" s="16">
        <f>65*0.15+48.3*0.2</f>
        <v>19.41</v>
      </c>
    </row>
    <row r="16" spans="1:12" s="29" customFormat="1" ht="32.25" customHeight="1" thickBot="1" x14ac:dyDescent="0.3">
      <c r="A16" s="91"/>
      <c r="B16" s="10" t="s">
        <v>18</v>
      </c>
      <c r="C16" s="11" t="s">
        <v>19</v>
      </c>
      <c r="D16" s="11" t="s">
        <v>20</v>
      </c>
      <c r="E16" s="18" t="s">
        <v>34</v>
      </c>
      <c r="F16" s="19">
        <v>2.31</v>
      </c>
      <c r="G16" s="19">
        <v>60</v>
      </c>
      <c r="H16" s="19">
        <v>7.0000000000000007E-2</v>
      </c>
      <c r="I16" s="19">
        <v>0.02</v>
      </c>
      <c r="J16" s="33">
        <v>15</v>
      </c>
    </row>
    <row r="17" spans="1:10" ht="16.5" thickBot="1" x14ac:dyDescent="0.3">
      <c r="A17" s="100" t="s">
        <v>15</v>
      </c>
      <c r="B17" s="101"/>
      <c r="C17" s="101"/>
      <c r="D17" s="101"/>
      <c r="E17" s="102"/>
      <c r="F17" s="20">
        <f>SUM(F15:F16)</f>
        <v>7</v>
      </c>
      <c r="G17" s="20">
        <f>SUM(G15:G16)</f>
        <v>143.44</v>
      </c>
      <c r="H17" s="20">
        <f t="shared" ref="H17:J17" si="1">SUM(H15:H16)</f>
        <v>1.4700000000000002</v>
      </c>
      <c r="I17" s="20">
        <f t="shared" si="1"/>
        <v>0.24000000000000002</v>
      </c>
      <c r="J17" s="20">
        <f t="shared" si="1"/>
        <v>34.409999999999997</v>
      </c>
    </row>
    <row r="18" spans="1:10" x14ac:dyDescent="0.25">
      <c r="A18" s="103" t="s">
        <v>73</v>
      </c>
      <c r="B18" s="21" t="s">
        <v>16</v>
      </c>
      <c r="C18" s="22" t="s">
        <v>48</v>
      </c>
      <c r="D18" s="73" t="s">
        <v>49</v>
      </c>
      <c r="E18" s="14" t="s">
        <v>50</v>
      </c>
      <c r="F18" s="15">
        <v>7.26</v>
      </c>
      <c r="G18" s="69">
        <f>593*0.25</f>
        <v>148.25</v>
      </c>
      <c r="H18" s="69">
        <f>21.96*0.25</f>
        <v>5.49</v>
      </c>
      <c r="I18" s="69">
        <f>21.08*0.25</f>
        <v>5.27</v>
      </c>
      <c r="J18" s="70">
        <f>66.14*0.25</f>
        <v>16.535</v>
      </c>
    </row>
    <row r="19" spans="1:10" s="61" customFormat="1" x14ac:dyDescent="0.25">
      <c r="A19" s="103"/>
      <c r="B19" s="8" t="s">
        <v>13</v>
      </c>
      <c r="C19" s="6" t="s">
        <v>46</v>
      </c>
      <c r="D19" s="6" t="s">
        <v>47</v>
      </c>
      <c r="E19" s="17">
        <v>75</v>
      </c>
      <c r="F19" s="7">
        <v>35.64</v>
      </c>
      <c r="G19" s="25">
        <f>182/50*75</f>
        <v>273</v>
      </c>
      <c r="H19" s="25">
        <f>6.74/50*75</f>
        <v>10.11</v>
      </c>
      <c r="I19" s="25">
        <f>13.91/50*75</f>
        <v>20.865000000000002</v>
      </c>
      <c r="J19" s="26">
        <f>7.09/50*75</f>
        <v>10.635000000000002</v>
      </c>
    </row>
    <row r="20" spans="1:10" s="58" customFormat="1" x14ac:dyDescent="0.25">
      <c r="A20" s="103"/>
      <c r="B20" s="8" t="s">
        <v>17</v>
      </c>
      <c r="C20" s="6" t="s">
        <v>65</v>
      </c>
      <c r="D20" s="6" t="s">
        <v>66</v>
      </c>
      <c r="E20" s="17">
        <v>150</v>
      </c>
      <c r="F20" s="7">
        <v>14.34</v>
      </c>
      <c r="G20" s="80">
        <f>112.3*1.5</f>
        <v>168.45</v>
      </c>
      <c r="H20" s="80">
        <f>3.68*1.5</f>
        <v>5.5200000000000005</v>
      </c>
      <c r="I20" s="80">
        <f>3.01*1.5</f>
        <v>4.5149999999999997</v>
      </c>
      <c r="J20" s="81">
        <f>17.63*1.5</f>
        <v>26.445</v>
      </c>
    </row>
    <row r="21" spans="1:10" s="58" customFormat="1" x14ac:dyDescent="0.25">
      <c r="A21" s="103"/>
      <c r="B21" s="8" t="s">
        <v>18</v>
      </c>
      <c r="C21" s="6" t="s">
        <v>19</v>
      </c>
      <c r="D21" s="6" t="s">
        <v>20</v>
      </c>
      <c r="E21" s="17" t="s">
        <v>34</v>
      </c>
      <c r="F21" s="7">
        <v>2.31</v>
      </c>
      <c r="G21" s="7">
        <v>60</v>
      </c>
      <c r="H21" s="7">
        <v>7.0000000000000007E-2</v>
      </c>
      <c r="I21" s="7">
        <v>0.02</v>
      </c>
      <c r="J21" s="9">
        <v>15</v>
      </c>
    </row>
    <row r="22" spans="1:10" s="71" customFormat="1" x14ac:dyDescent="0.25">
      <c r="A22" s="103"/>
      <c r="B22" s="8" t="s">
        <v>14</v>
      </c>
      <c r="C22" s="6" t="s">
        <v>32</v>
      </c>
      <c r="D22" s="6" t="s">
        <v>33</v>
      </c>
      <c r="E22" s="17">
        <v>25.5</v>
      </c>
      <c r="F22" s="7">
        <v>1.1200000000000001</v>
      </c>
      <c r="G22" s="7">
        <f>229.7*0.255</f>
        <v>58.573499999999996</v>
      </c>
      <c r="H22" s="77">
        <f>6.7*0.255</f>
        <v>1.7085000000000001</v>
      </c>
      <c r="I22" s="77">
        <f>1.1*0.255</f>
        <v>0.28050000000000003</v>
      </c>
      <c r="J22" s="79">
        <f>48.3*0.255</f>
        <v>12.3165</v>
      </c>
    </row>
    <row r="23" spans="1:10" ht="15.75" thickBot="1" x14ac:dyDescent="0.3">
      <c r="A23" s="103"/>
      <c r="B23" s="10" t="s">
        <v>37</v>
      </c>
      <c r="C23" s="11" t="s">
        <v>38</v>
      </c>
      <c r="D23" s="11" t="s">
        <v>51</v>
      </c>
      <c r="E23" s="18">
        <v>80</v>
      </c>
      <c r="F23" s="19">
        <v>16.329999999999998</v>
      </c>
      <c r="G23" s="56">
        <f>43*0.8</f>
        <v>34.4</v>
      </c>
      <c r="H23" s="56">
        <f>0.9*0.8</f>
        <v>0.72000000000000008</v>
      </c>
      <c r="I23" s="56">
        <f>0.2*0.8</f>
        <v>0.16000000000000003</v>
      </c>
      <c r="J23" s="57">
        <f>8.1*0.8</f>
        <v>6.48</v>
      </c>
    </row>
    <row r="24" spans="1:10" ht="16.5" thickBot="1" x14ac:dyDescent="0.3">
      <c r="A24" s="100" t="s">
        <v>15</v>
      </c>
      <c r="B24" s="115"/>
      <c r="C24" s="115"/>
      <c r="D24" s="115"/>
      <c r="E24" s="116"/>
      <c r="F24" s="78">
        <f>SUM(F18:F23)</f>
        <v>77</v>
      </c>
      <c r="G24" s="78">
        <f t="shared" ref="G24:J24" si="2">SUM(G18:G23)</f>
        <v>742.67349999999999</v>
      </c>
      <c r="H24" s="78">
        <f t="shared" si="2"/>
        <v>23.618500000000001</v>
      </c>
      <c r="I24" s="78">
        <f t="shared" si="2"/>
        <v>31.110500000000002</v>
      </c>
      <c r="J24" s="78">
        <f t="shared" si="2"/>
        <v>87.411500000000018</v>
      </c>
    </row>
    <row r="25" spans="1:10" s="38" customFormat="1" x14ac:dyDescent="0.25">
      <c r="A25" s="112" t="s">
        <v>54</v>
      </c>
      <c r="B25" s="21" t="s">
        <v>16</v>
      </c>
      <c r="C25" s="22" t="s">
        <v>48</v>
      </c>
      <c r="D25" s="73" t="s">
        <v>49</v>
      </c>
      <c r="E25" s="14" t="s">
        <v>50</v>
      </c>
      <c r="F25" s="15">
        <v>7.26</v>
      </c>
      <c r="G25" s="69">
        <f>593*0.25</f>
        <v>148.25</v>
      </c>
      <c r="H25" s="69">
        <f>21.96*0.25</f>
        <v>5.49</v>
      </c>
      <c r="I25" s="69">
        <f>21.08*0.25</f>
        <v>5.27</v>
      </c>
      <c r="J25" s="70">
        <f>66.14*0.25</f>
        <v>16.535</v>
      </c>
    </row>
    <row r="26" spans="1:10" x14ac:dyDescent="0.25">
      <c r="A26" s="112"/>
      <c r="B26" s="8" t="s">
        <v>13</v>
      </c>
      <c r="C26" s="6" t="s">
        <v>46</v>
      </c>
      <c r="D26" s="6" t="s">
        <v>47</v>
      </c>
      <c r="E26" s="17">
        <v>50</v>
      </c>
      <c r="F26" s="7">
        <v>23.4</v>
      </c>
      <c r="G26" s="25">
        <f>182/50*50</f>
        <v>182</v>
      </c>
      <c r="H26" s="25">
        <f>6.74/50*50</f>
        <v>6.74</v>
      </c>
      <c r="I26" s="25">
        <f>13.91/50*50</f>
        <v>13.91</v>
      </c>
      <c r="J26" s="26">
        <f>7.09/50*50</f>
        <v>7.0900000000000007</v>
      </c>
    </row>
    <row r="27" spans="1:10" s="58" customFormat="1" x14ac:dyDescent="0.25">
      <c r="A27" s="112"/>
      <c r="B27" s="8" t="s">
        <v>17</v>
      </c>
      <c r="C27" s="6" t="s">
        <v>65</v>
      </c>
      <c r="D27" s="6" t="s">
        <v>66</v>
      </c>
      <c r="E27" s="17">
        <v>120</v>
      </c>
      <c r="F27" s="7">
        <v>11.47</v>
      </c>
      <c r="G27" s="80">
        <f>112.3*1.2</f>
        <v>134.76</v>
      </c>
      <c r="H27" s="80">
        <f>3.68*1.2</f>
        <v>4.4160000000000004</v>
      </c>
      <c r="I27" s="80">
        <f>3.01*1.2</f>
        <v>3.6119999999999997</v>
      </c>
      <c r="J27" s="81">
        <f>17.63*1.2</f>
        <v>21.155999999999999</v>
      </c>
    </row>
    <row r="28" spans="1:10" x14ac:dyDescent="0.25">
      <c r="A28" s="112"/>
      <c r="B28" s="8" t="s">
        <v>18</v>
      </c>
      <c r="C28" s="6" t="s">
        <v>19</v>
      </c>
      <c r="D28" s="6" t="s">
        <v>20</v>
      </c>
      <c r="E28" s="17" t="s">
        <v>34</v>
      </c>
      <c r="F28" s="7">
        <v>2.31</v>
      </c>
      <c r="G28" s="7">
        <v>60</v>
      </c>
      <c r="H28" s="7">
        <v>7.0000000000000007E-2</v>
      </c>
      <c r="I28" s="7">
        <v>0.02</v>
      </c>
      <c r="J28" s="9">
        <v>15</v>
      </c>
    </row>
    <row r="29" spans="1:10" ht="15.75" thickBot="1" x14ac:dyDescent="0.3">
      <c r="A29" s="112"/>
      <c r="B29" s="10" t="s">
        <v>14</v>
      </c>
      <c r="C29" s="11" t="s">
        <v>32</v>
      </c>
      <c r="D29" s="11" t="s">
        <v>33</v>
      </c>
      <c r="E29" s="18">
        <v>13</v>
      </c>
      <c r="F29" s="19">
        <v>0.56000000000000005</v>
      </c>
      <c r="G29" s="19">
        <f>229.7*0.13</f>
        <v>29.861000000000001</v>
      </c>
      <c r="H29" s="12">
        <f>6.7*0.13</f>
        <v>0.87100000000000011</v>
      </c>
      <c r="I29" s="12">
        <f>1.1*0.13</f>
        <v>0.14300000000000002</v>
      </c>
      <c r="J29" s="13">
        <f>48.3*0.13</f>
        <v>6.2789999999999999</v>
      </c>
    </row>
    <row r="30" spans="1:10" ht="16.5" thickBot="1" x14ac:dyDescent="0.3">
      <c r="A30" s="100" t="s">
        <v>15</v>
      </c>
      <c r="B30" s="113"/>
      <c r="C30" s="113"/>
      <c r="D30" s="113"/>
      <c r="E30" s="114"/>
      <c r="F30" s="23">
        <f>SUM(F25:F29)</f>
        <v>45</v>
      </c>
      <c r="G30" s="23">
        <f>SUM(G25:G29)</f>
        <v>554.87099999999998</v>
      </c>
      <c r="H30" s="23">
        <f>SUM(H25:H29)</f>
        <v>17.587</v>
      </c>
      <c r="I30" s="23">
        <f>SUM(I25:I29)</f>
        <v>22.954999999999998</v>
      </c>
      <c r="J30" s="23">
        <f>SUM(J25:J29)</f>
        <v>66.06</v>
      </c>
    </row>
    <row r="32" spans="1:10" ht="15.75" thickBot="1" x14ac:dyDescent="0.3">
      <c r="A32" s="98" t="s">
        <v>25</v>
      </c>
      <c r="B32" s="98"/>
      <c r="C32" s="98"/>
      <c r="D32" s="98"/>
      <c r="E32" s="98"/>
      <c r="F32" s="98"/>
      <c r="G32" s="98"/>
      <c r="H32" s="98"/>
      <c r="I32" s="98"/>
      <c r="J32" s="98"/>
    </row>
    <row r="33" spans="1:10" ht="15.75" x14ac:dyDescent="0.25">
      <c r="A33" s="24"/>
      <c r="B33" s="24"/>
      <c r="C33" s="97" t="s">
        <v>23</v>
      </c>
      <c r="D33" s="97"/>
      <c r="G33" s="99"/>
      <c r="H33" s="99"/>
      <c r="I33" s="99"/>
      <c r="J33" s="99"/>
    </row>
    <row r="34" spans="1:10" x14ac:dyDescent="0.25">
      <c r="A34" s="1"/>
      <c r="B34" s="1"/>
      <c r="C34" s="1"/>
      <c r="D34" s="1"/>
    </row>
    <row r="35" spans="1:10" x14ac:dyDescent="0.25">
      <c r="A35" s="82" t="s">
        <v>24</v>
      </c>
      <c r="B35" s="82"/>
    </row>
    <row r="36" spans="1:10" x14ac:dyDescent="0.25">
      <c r="A36" s="82" t="s">
        <v>26</v>
      </c>
      <c r="B36" s="82"/>
    </row>
    <row r="37" spans="1:10" x14ac:dyDescent="0.25">
      <c r="A37" s="4"/>
    </row>
  </sheetData>
  <mergeCells count="17">
    <mergeCell ref="B1:C1"/>
    <mergeCell ref="G1:J1"/>
    <mergeCell ref="A3:A8"/>
    <mergeCell ref="A9:E9"/>
    <mergeCell ref="A18:A23"/>
    <mergeCell ref="A35:B35"/>
    <mergeCell ref="A36:B36"/>
    <mergeCell ref="A10:A13"/>
    <mergeCell ref="A14:E14"/>
    <mergeCell ref="A15:A16"/>
    <mergeCell ref="A17:E17"/>
    <mergeCell ref="A25:A29"/>
    <mergeCell ref="A30:E30"/>
    <mergeCell ref="A32:J32"/>
    <mergeCell ref="C33:D33"/>
    <mergeCell ref="G33:J33"/>
    <mergeCell ref="A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2022-10-04T10:51:51Z</dcterms:modified>
</cp:coreProperties>
</file>