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-4 кл" sheetId="1" r:id="rId1"/>
    <sheet name="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5" i="2" l="1"/>
  <c r="I25" i="2"/>
  <c r="H25" i="2"/>
  <c r="G25" i="2"/>
  <c r="J24" i="2"/>
  <c r="I24" i="2"/>
  <c r="H24" i="2"/>
  <c r="G24" i="2"/>
  <c r="J21" i="2"/>
  <c r="I21" i="2"/>
  <c r="H21" i="2"/>
  <c r="G21" i="2"/>
  <c r="J19" i="2"/>
  <c r="I19" i="2"/>
  <c r="H19" i="2"/>
  <c r="G19" i="2"/>
  <c r="J17" i="2"/>
  <c r="I17" i="2"/>
  <c r="H17" i="2"/>
  <c r="G17" i="2"/>
  <c r="J16" i="2"/>
  <c r="I16" i="2"/>
  <c r="H16" i="2"/>
  <c r="G16" i="2"/>
  <c r="J15" i="2"/>
  <c r="I15" i="2"/>
  <c r="H15" i="2"/>
  <c r="G15" i="2"/>
  <c r="J10" i="2" l="1"/>
  <c r="I10" i="2"/>
  <c r="H10" i="2"/>
  <c r="G10" i="2"/>
  <c r="J8" i="2"/>
  <c r="I8" i="2"/>
  <c r="H8" i="2"/>
  <c r="G8" i="2"/>
  <c r="J6" i="2" l="1"/>
  <c r="I6" i="2"/>
  <c r="H6" i="2"/>
  <c r="G6" i="2"/>
  <c r="J27" i="1"/>
  <c r="I27" i="1"/>
  <c r="H27" i="1"/>
  <c r="G27" i="1"/>
  <c r="J26" i="1" l="1"/>
  <c r="I26" i="1"/>
  <c r="H26" i="1"/>
  <c r="G26" i="1"/>
  <c r="G24" i="1"/>
  <c r="H24" i="1"/>
  <c r="I24" i="1"/>
  <c r="J24" i="1"/>
  <c r="F24" i="1"/>
  <c r="J23" i="1"/>
  <c r="I23" i="1"/>
  <c r="H23" i="1"/>
  <c r="G23" i="1"/>
  <c r="J17" i="1"/>
  <c r="I17" i="1"/>
  <c r="H17" i="1"/>
  <c r="G17" i="1"/>
  <c r="J18" i="1"/>
  <c r="I18" i="1"/>
  <c r="H18" i="1"/>
  <c r="G18" i="1"/>
  <c r="J21" i="1" l="1"/>
  <c r="I21" i="1"/>
  <c r="H21" i="1"/>
  <c r="G21" i="1"/>
  <c r="J20" i="1" l="1"/>
  <c r="I20" i="1"/>
  <c r="H20" i="1"/>
  <c r="G20" i="1"/>
  <c r="J19" i="1"/>
  <c r="I19" i="1"/>
  <c r="H19" i="1"/>
  <c r="G19" i="1"/>
  <c r="J15" i="1"/>
  <c r="I15" i="1"/>
  <c r="H15" i="1"/>
  <c r="G15" i="1"/>
  <c r="J13" i="1"/>
  <c r="I13" i="1"/>
  <c r="H13" i="1"/>
  <c r="G13" i="1"/>
  <c r="J12" i="1"/>
  <c r="I12" i="1"/>
  <c r="H12" i="1"/>
  <c r="G12" i="1"/>
  <c r="J9" i="1"/>
  <c r="I9" i="1"/>
  <c r="H9" i="1"/>
  <c r="G9" i="1"/>
  <c r="G10" i="1"/>
  <c r="H10" i="1"/>
  <c r="I10" i="1"/>
  <c r="J10" i="1"/>
  <c r="F10" i="1"/>
  <c r="J3" i="1"/>
  <c r="I3" i="1"/>
  <c r="H3" i="1"/>
  <c r="G3" i="1"/>
  <c r="J6" i="1" l="1"/>
  <c r="I6" i="1"/>
  <c r="H6" i="1"/>
  <c r="G6" i="1"/>
  <c r="J4" i="1" l="1"/>
  <c r="I4" i="1"/>
  <c r="H4" i="1"/>
  <c r="G4" i="1"/>
  <c r="F20" i="2" l="1"/>
  <c r="J23" i="2"/>
  <c r="I23" i="2"/>
  <c r="H23" i="2"/>
  <c r="G23" i="2"/>
  <c r="F28" i="2"/>
  <c r="J22" i="2" l="1"/>
  <c r="J28" i="2" s="1"/>
  <c r="I22" i="2"/>
  <c r="I28" i="2" s="1"/>
  <c r="H22" i="2"/>
  <c r="H28" i="2" s="1"/>
  <c r="G22" i="2"/>
  <c r="G28" i="2" s="1"/>
  <c r="J20" i="2"/>
  <c r="I20" i="2"/>
  <c r="H20" i="2"/>
  <c r="G20" i="2"/>
  <c r="F7" i="2" l="1"/>
  <c r="G7" i="2" l="1"/>
  <c r="H7" i="2"/>
  <c r="I7" i="2"/>
  <c r="J7" i="2"/>
  <c r="J5" i="1" l="1"/>
  <c r="I5" i="1"/>
  <c r="H5" i="1"/>
  <c r="G5" i="1"/>
  <c r="J11" i="1" l="1"/>
  <c r="I11" i="1"/>
  <c r="H11" i="1"/>
  <c r="G11" i="1"/>
  <c r="F28" i="1"/>
  <c r="J28" i="1"/>
  <c r="I28" i="1"/>
  <c r="H28" i="1"/>
  <c r="G28" i="1"/>
  <c r="G14" i="2" l="1"/>
  <c r="F16" i="1" l="1"/>
  <c r="J16" i="1" l="1"/>
  <c r="H16" i="1"/>
  <c r="G16" i="1"/>
  <c r="I16" i="1" l="1"/>
  <c r="F14" i="2" l="1"/>
  <c r="H14" i="2"/>
  <c r="F11" i="2"/>
  <c r="G11" i="2" l="1"/>
  <c r="I11" i="2"/>
  <c r="J14" i="2"/>
  <c r="H11" i="2"/>
  <c r="J11" i="2"/>
  <c r="I14" i="2"/>
</calcChain>
</file>

<file path=xl/sharedStrings.xml><?xml version="1.0" encoding="utf-8"?>
<sst xmlns="http://schemas.openxmlformats.org/spreadsheetml/2006/main" count="196" uniqueCount="80">
  <si>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</si>
  <si>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</si>
  <si>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</si>
  <si>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</si>
  <si>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</si>
  <si>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</si>
  <si>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</si>
  <si>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</si>
  <si>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</si>
  <si>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</si>
  <si>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</si>
  <si>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</si>
  <si>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</si>
  <si>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</si>
  <si>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</si>
  <si>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</si>
  <si>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</si>
  <si>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</si>
  <si>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</si>
  <si>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</si>
  <si>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</si>
  <si>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</si>
  <si>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</si>
  <si>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</si>
  <si>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</si>
  <si>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</si>
  <si>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</si>
  <si>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</si>
  <si>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</si>
  <si>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</si>
  <si>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</si>
  <si>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</si>
  <si>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</si>
  <si>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</si>
  <si>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</si>
  <si>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</si>
  <si>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</si>
  <si>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</si>
  <si>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ТТК №18</t>
  </si>
  <si>
    <t>Филе цыплёнка запечённое</t>
  </si>
  <si>
    <t>Кондитерское изделие</t>
  </si>
  <si>
    <t>ПР</t>
  </si>
  <si>
    <t>№686-2004г.</t>
  </si>
  <si>
    <t>Чай с лимоном</t>
  </si>
  <si>
    <t>200/15/7</t>
  </si>
  <si>
    <t>№88-2015г.</t>
  </si>
  <si>
    <t>Фрукт</t>
  </si>
  <si>
    <t>№338-2015г.</t>
  </si>
  <si>
    <t>№268-2015г.</t>
  </si>
  <si>
    <t>Котлета из свинины</t>
  </si>
  <si>
    <t>№304-2015г.</t>
  </si>
  <si>
    <t>Рис отварной</t>
  </si>
  <si>
    <t>№71-2015г.</t>
  </si>
  <si>
    <t>Овощи натуральные свежие (помидоры)</t>
  </si>
  <si>
    <t>Зефир бело-розовый</t>
  </si>
  <si>
    <t>Овощи натуральные свежие (огурцы)</t>
  </si>
  <si>
    <t>Щи из свежей капусты с картофелем со сметаной и зеленью</t>
  </si>
  <si>
    <t>250/10/2</t>
  </si>
  <si>
    <t>№15-2015г.</t>
  </si>
  <si>
    <t>Сыр "Российский" (порциями)</t>
  </si>
  <si>
    <t>Завтрак 5-11 кл с доплатой 70,00 руб.1 смена</t>
  </si>
  <si>
    <t>Обед 6-7 кл. с доплатой 70,00 руб. 2-я смена</t>
  </si>
  <si>
    <t>Напиток (сладкое блюдо)</t>
  </si>
  <si>
    <t>№309-2015г.</t>
  </si>
  <si>
    <t>Макароны отварные</t>
  </si>
  <si>
    <t>ТТК №6</t>
  </si>
  <si>
    <t>Булочка "Рулетик с маком"</t>
  </si>
  <si>
    <t>№348-2015г.</t>
  </si>
  <si>
    <t>Напиток из кураги</t>
  </si>
  <si>
    <t>ТТК №50</t>
  </si>
  <si>
    <t>Блинчик с джемом</t>
  </si>
  <si>
    <t>Фрукт свежий (яблоко)</t>
  </si>
  <si>
    <t>№392-2015г.</t>
  </si>
  <si>
    <t>Пельмени отварные с маслом</t>
  </si>
  <si>
    <t>150/5</t>
  </si>
  <si>
    <t>Макароны отварные с сыром</t>
  </si>
  <si>
    <t>150/10</t>
  </si>
  <si>
    <t>Печенье "Сахарное"</t>
  </si>
  <si>
    <t>№425-2015г.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</si>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</sst>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/>
    <xf numFmtId="2" fontId="4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2" fontId="3" fillId="0" borderId="14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2" fontId="3" fillId="0" borderId="9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right" vertical="center" wrapText="1"/>
    </xf>
    <xf numFmtId="2" fontId="7" fillId="0" borderId="12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3" fillId="0" borderId="0" xfId="0" applyFont="1"/>
    <xf numFmtId="2" fontId="4" fillId="0" borderId="26" xfId="0" applyNumberFormat="1" applyFont="1" applyBorder="1" applyAlignment="1">
      <alignment vertical="center" wrapText="1"/>
    </xf>
    <xf numFmtId="0" fontId="3" fillId="0" borderId="0" xfId="0" applyFont="1"/>
    <xf numFmtId="0" fontId="3" fillId="0" borderId="0" xfId="0" applyFont="1"/>
    <xf numFmtId="2" fontId="3" fillId="0" borderId="15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3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/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2" xfId="0" applyFont="1" applyBorder="1" applyAlignment="1">
      <alignment horizontal="right" vertical="center" wrapText="1"/>
    </xf>
    <xf numFmtId="2" fontId="3" fillId="0" borderId="42" xfId="0" applyNumberFormat="1" applyFont="1" applyBorder="1" applyAlignment="1">
      <alignment horizontal="right" vertical="center" wrapText="1"/>
    </xf>
    <xf numFmtId="2" fontId="3" fillId="0" borderId="4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2" fontId="3" fillId="0" borderId="37" xfId="0" applyNumberFormat="1" applyFont="1" applyBorder="1" applyAlignment="1">
      <alignment horizontal="right" vertical="center" wrapText="1"/>
    </xf>
    <xf numFmtId="2" fontId="7" fillId="0" borderId="37" xfId="0" applyNumberFormat="1" applyFont="1" applyBorder="1" applyAlignment="1">
      <alignment horizontal="right" vertical="center" wrapText="1"/>
    </xf>
    <xf numFmtId="2" fontId="7" fillId="0" borderId="44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9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2" fontId="4" fillId="0" borderId="46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2" fontId="4" fillId="0" borderId="31" xfId="0" applyNumberFormat="1" applyFont="1" applyBorder="1" applyAlignment="1">
      <alignment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</cellXfs>
  <cellStyles count="8">
    <cellStyle name="Обычный" xfId="0" builtinId="0"/>
    <cellStyle name="Обычный 2" xfId="2"/>
    <cellStyle name="Обычный 2 2" xfId="3"/>
    <cellStyle name="Обычный 2 3" xfId="4"/>
    <cellStyle name="Обычный 2 4" xfId="1"/>
    <cellStyle name="Обычный 2 4 2" xfId="7"/>
    <cellStyle name="Обычный 2 5" xfId="5"/>
    <cellStyle name="Обычный 2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B21" sqref="B21:J21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5" t="s">
        <v>22</v>
      </c>
      <c r="C1" s="76"/>
      <c r="D1" s="1" t="s">
        <v>1</v>
      </c>
      <c r="E1" s="26"/>
      <c r="F1" s="1" t="s">
        <v>2</v>
      </c>
      <c r="G1" s="77">
        <v>44844</v>
      </c>
      <c r="H1" s="78"/>
      <c r="I1" s="78"/>
      <c r="J1" s="79"/>
      <c r="K1" s="1"/>
      <c r="L1" s="1"/>
    </row>
    <row r="2" spans="1:12" ht="15.75" thickBot="1" x14ac:dyDescent="0.3">
      <c r="A2" s="32" t="s">
        <v>3</v>
      </c>
      <c r="B2" s="5" t="s">
        <v>4</v>
      </c>
      <c r="C2" s="33" t="s">
        <v>5</v>
      </c>
      <c r="D2" s="37" t="s">
        <v>6</v>
      </c>
      <c r="E2" s="37" t="s">
        <v>7</v>
      </c>
      <c r="F2" s="37" t="s">
        <v>8</v>
      </c>
      <c r="G2" s="5" t="s">
        <v>9</v>
      </c>
      <c r="H2" s="5" t="s">
        <v>10</v>
      </c>
      <c r="I2" s="5" t="s">
        <v>11</v>
      </c>
      <c r="J2" s="34" t="s">
        <v>12</v>
      </c>
    </row>
    <row r="3" spans="1:12" s="64" customFormat="1" x14ac:dyDescent="0.25">
      <c r="A3" s="92" t="s">
        <v>27</v>
      </c>
      <c r="B3" s="65" t="s">
        <v>31</v>
      </c>
      <c r="C3" s="62" t="s">
        <v>58</v>
      </c>
      <c r="D3" s="62" t="s">
        <v>59</v>
      </c>
      <c r="E3" s="14">
        <v>15</v>
      </c>
      <c r="F3" s="14">
        <v>15.35</v>
      </c>
      <c r="G3" s="15">
        <f>3.64*15</f>
        <v>54.6</v>
      </c>
      <c r="H3" s="15">
        <f>23.2*0.15</f>
        <v>3.48</v>
      </c>
      <c r="I3" s="15">
        <f>29.5*0.15</f>
        <v>4.4249999999999998</v>
      </c>
      <c r="J3" s="16">
        <f>0</f>
        <v>0</v>
      </c>
    </row>
    <row r="4" spans="1:12" ht="15.75" x14ac:dyDescent="0.25">
      <c r="A4" s="93"/>
      <c r="B4" s="68" t="s">
        <v>31</v>
      </c>
      <c r="C4" s="47" t="s">
        <v>52</v>
      </c>
      <c r="D4" s="47" t="s">
        <v>53</v>
      </c>
      <c r="E4" s="17">
        <v>25</v>
      </c>
      <c r="F4" s="7">
        <v>2.2200000000000002</v>
      </c>
      <c r="G4" s="7">
        <f>11*0.5</f>
        <v>5.5</v>
      </c>
      <c r="H4" s="7">
        <f>0.55*0.5</f>
        <v>0.27500000000000002</v>
      </c>
      <c r="I4" s="7">
        <f>0.1*0.5</f>
        <v>0.05</v>
      </c>
      <c r="J4" s="9">
        <f>1.9*0.5</f>
        <v>0.95</v>
      </c>
    </row>
    <row r="5" spans="1:12" s="43" customFormat="1" x14ac:dyDescent="0.25">
      <c r="A5" s="93"/>
      <c r="B5" s="8" t="s">
        <v>13</v>
      </c>
      <c r="C5" s="6" t="s">
        <v>38</v>
      </c>
      <c r="D5" s="6" t="s">
        <v>39</v>
      </c>
      <c r="E5" s="17">
        <v>75</v>
      </c>
      <c r="F5" s="7">
        <v>59.14</v>
      </c>
      <c r="G5" s="24">
        <f>129.15*1.5</f>
        <v>193.72500000000002</v>
      </c>
      <c r="H5" s="24">
        <f>17.2*1.5</f>
        <v>25.799999999999997</v>
      </c>
      <c r="I5" s="24">
        <f>3.8*1.5</f>
        <v>5.6999999999999993</v>
      </c>
      <c r="J5" s="25">
        <f>6.6*1.5</f>
        <v>9.8999999999999986</v>
      </c>
    </row>
    <row r="6" spans="1:12" s="63" customFormat="1" x14ac:dyDescent="0.25">
      <c r="A6" s="93"/>
      <c r="B6" s="8" t="s">
        <v>17</v>
      </c>
      <c r="C6" s="6" t="s">
        <v>63</v>
      </c>
      <c r="D6" s="6" t="s">
        <v>64</v>
      </c>
      <c r="E6" s="17">
        <v>100</v>
      </c>
      <c r="F6" s="7">
        <v>9.56</v>
      </c>
      <c r="G6" s="70">
        <f>112.3*1</f>
        <v>112.3</v>
      </c>
      <c r="H6" s="70">
        <f>3.68*1</f>
        <v>3.68</v>
      </c>
      <c r="I6" s="70">
        <f>3.01*1</f>
        <v>3.01</v>
      </c>
      <c r="J6" s="71">
        <f>17.63*1</f>
        <v>17.63</v>
      </c>
      <c r="K6"/>
    </row>
    <row r="7" spans="1:12" s="29" customFormat="1" x14ac:dyDescent="0.25">
      <c r="A7" s="93"/>
      <c r="B7" s="8" t="s">
        <v>18</v>
      </c>
      <c r="C7" s="6" t="s">
        <v>19</v>
      </c>
      <c r="D7" s="6" t="s">
        <v>20</v>
      </c>
      <c r="E7" s="17" t="s">
        <v>34</v>
      </c>
      <c r="F7" s="7">
        <v>2.31</v>
      </c>
      <c r="G7" s="7">
        <v>60</v>
      </c>
      <c r="H7" s="7">
        <v>7.0000000000000007E-2</v>
      </c>
      <c r="I7" s="7">
        <v>0.02</v>
      </c>
      <c r="J7" s="9">
        <v>15</v>
      </c>
      <c r="K7"/>
    </row>
    <row r="8" spans="1:12" s="61" customFormat="1" x14ac:dyDescent="0.25">
      <c r="A8" s="93"/>
      <c r="B8" s="8" t="s">
        <v>21</v>
      </c>
      <c r="C8" s="6" t="s">
        <v>65</v>
      </c>
      <c r="D8" s="6" t="s">
        <v>66</v>
      </c>
      <c r="E8" s="17">
        <v>50</v>
      </c>
      <c r="F8" s="7">
        <v>7.45</v>
      </c>
      <c r="G8" s="48">
        <v>198.6</v>
      </c>
      <c r="H8" s="48">
        <v>4.0999999999999996</v>
      </c>
      <c r="I8" s="48">
        <v>7.7</v>
      </c>
      <c r="J8" s="49">
        <v>28.2</v>
      </c>
      <c r="K8"/>
    </row>
    <row r="9" spans="1:12" s="39" customFormat="1" ht="15.75" thickBot="1" x14ac:dyDescent="0.3">
      <c r="A9" s="94"/>
      <c r="B9" s="10" t="s">
        <v>14</v>
      </c>
      <c r="C9" s="11" t="s">
        <v>32</v>
      </c>
      <c r="D9" s="11" t="s">
        <v>33</v>
      </c>
      <c r="E9" s="18">
        <v>25.5</v>
      </c>
      <c r="F9" s="19">
        <v>1.1200000000000001</v>
      </c>
      <c r="G9" s="19">
        <f>229.7*0.255</f>
        <v>58.573499999999996</v>
      </c>
      <c r="H9" s="12">
        <f>6.7*0.255</f>
        <v>1.7085000000000001</v>
      </c>
      <c r="I9" s="12">
        <f>1.1*0.255</f>
        <v>0.28050000000000003</v>
      </c>
      <c r="J9" s="13">
        <f>48.3*0.255</f>
        <v>12.3165</v>
      </c>
    </row>
    <row r="10" spans="1:12" ht="16.5" thickBot="1" x14ac:dyDescent="0.3">
      <c r="A10" s="83" t="s">
        <v>15</v>
      </c>
      <c r="B10" s="84"/>
      <c r="C10" s="84"/>
      <c r="D10" s="84"/>
      <c r="E10" s="85"/>
      <c r="F10" s="72">
        <f>SUM(F3:F9)</f>
        <v>97.15000000000002</v>
      </c>
      <c r="G10" s="72">
        <f t="shared" ref="G10:J10" si="0">SUM(G3:G9)</f>
        <v>683.29849999999999</v>
      </c>
      <c r="H10" s="72">
        <f t="shared" si="0"/>
        <v>39.113500000000002</v>
      </c>
      <c r="I10" s="72">
        <f t="shared" si="0"/>
        <v>21.185499999999998</v>
      </c>
      <c r="J10" s="72">
        <f t="shared" si="0"/>
        <v>83.996499999999997</v>
      </c>
    </row>
    <row r="11" spans="1:12" ht="30" x14ac:dyDescent="0.25">
      <c r="A11" s="86" t="s">
        <v>28</v>
      </c>
      <c r="B11" s="21" t="s">
        <v>16</v>
      </c>
      <c r="C11" s="22" t="s">
        <v>45</v>
      </c>
      <c r="D11" s="22" t="s">
        <v>56</v>
      </c>
      <c r="E11" s="14" t="s">
        <v>57</v>
      </c>
      <c r="F11" s="15">
        <v>10.91</v>
      </c>
      <c r="G11" s="15">
        <f>359*0.25+162*0.1</f>
        <v>105.95</v>
      </c>
      <c r="H11" s="15">
        <f>7.06*0.25+2.6*0.1</f>
        <v>2.0249999999999999</v>
      </c>
      <c r="I11" s="15">
        <f>19.8*0.25+15*0.1</f>
        <v>6.45</v>
      </c>
      <c r="J11" s="16">
        <f>31.61*0.25+3.6*0.1</f>
        <v>8.2624999999999993</v>
      </c>
      <c r="K11"/>
    </row>
    <row r="12" spans="1:12" x14ac:dyDescent="0.25">
      <c r="A12" s="86"/>
      <c r="B12" s="44" t="s">
        <v>13</v>
      </c>
      <c r="C12" s="45" t="s">
        <v>48</v>
      </c>
      <c r="D12" s="45" t="s">
        <v>49</v>
      </c>
      <c r="E12" s="46">
        <v>43</v>
      </c>
      <c r="F12" s="58">
        <v>16.760000000000002</v>
      </c>
      <c r="G12" s="59">
        <f>273/75*43</f>
        <v>156.52000000000001</v>
      </c>
      <c r="H12" s="59">
        <f>10.11/75*43</f>
        <v>5.7964000000000002</v>
      </c>
      <c r="I12" s="59">
        <f>20.87/75*43</f>
        <v>11.965466666666666</v>
      </c>
      <c r="J12" s="60">
        <f>10.64/75*43</f>
        <v>6.1002666666666672</v>
      </c>
      <c r="K12"/>
    </row>
    <row r="13" spans="1:12" s="63" customFormat="1" ht="15" customHeight="1" x14ac:dyDescent="0.25">
      <c r="A13" s="86"/>
      <c r="B13" s="8" t="s">
        <v>17</v>
      </c>
      <c r="C13" s="6" t="s">
        <v>50</v>
      </c>
      <c r="D13" s="6" t="s">
        <v>51</v>
      </c>
      <c r="E13" s="17">
        <v>120</v>
      </c>
      <c r="F13" s="7">
        <v>11.68</v>
      </c>
      <c r="G13" s="7">
        <f>1398*0.12</f>
        <v>167.76</v>
      </c>
      <c r="H13" s="7">
        <f>24.34*0.12</f>
        <v>2.9207999999999998</v>
      </c>
      <c r="I13" s="7">
        <f>35.83*0.12</f>
        <v>4.2995999999999999</v>
      </c>
      <c r="J13" s="9">
        <f>244.56*0.12</f>
        <v>29.347200000000001</v>
      </c>
    </row>
    <row r="14" spans="1:12" s="29" customFormat="1" x14ac:dyDescent="0.25">
      <c r="A14" s="86"/>
      <c r="B14" s="8" t="s">
        <v>18</v>
      </c>
      <c r="C14" s="6" t="s">
        <v>19</v>
      </c>
      <c r="D14" s="6" t="s">
        <v>20</v>
      </c>
      <c r="E14" s="17" t="s">
        <v>34</v>
      </c>
      <c r="F14" s="7">
        <v>2.31</v>
      </c>
      <c r="G14" s="7">
        <v>60</v>
      </c>
      <c r="H14" s="7">
        <v>7.0000000000000007E-2</v>
      </c>
      <c r="I14" s="7">
        <v>0.02</v>
      </c>
      <c r="J14" s="9">
        <v>15</v>
      </c>
    </row>
    <row r="15" spans="1:12" ht="15.75" thickBot="1" x14ac:dyDescent="0.3">
      <c r="A15" s="86"/>
      <c r="B15" s="10" t="s">
        <v>14</v>
      </c>
      <c r="C15" s="11" t="s">
        <v>32</v>
      </c>
      <c r="D15" s="11" t="s">
        <v>33</v>
      </c>
      <c r="E15" s="18">
        <v>14.5</v>
      </c>
      <c r="F15" s="19">
        <v>0.63</v>
      </c>
      <c r="G15" s="19">
        <f>229.7*0.145</f>
        <v>33.306499999999993</v>
      </c>
      <c r="H15" s="12">
        <f>6.7*0.145</f>
        <v>0.97149999999999992</v>
      </c>
      <c r="I15" s="12">
        <f>1.1*0.145</f>
        <v>0.1595</v>
      </c>
      <c r="J15" s="13">
        <f>48.3*0.145</f>
        <v>7.0034999999999989</v>
      </c>
    </row>
    <row r="16" spans="1:12" ht="16.5" thickBot="1" x14ac:dyDescent="0.3">
      <c r="A16" s="87" t="s">
        <v>15</v>
      </c>
      <c r="B16" s="88"/>
      <c r="C16" s="88"/>
      <c r="D16" s="88"/>
      <c r="E16" s="89"/>
      <c r="F16" s="28">
        <f>SUM(F11:F15)</f>
        <v>42.290000000000006</v>
      </c>
      <c r="G16" s="28">
        <f t="shared" ref="G16:J16" si="1">SUM(G11:G15)</f>
        <v>523.53650000000005</v>
      </c>
      <c r="H16" s="28">
        <f t="shared" si="1"/>
        <v>11.783700000000001</v>
      </c>
      <c r="I16" s="28">
        <f t="shared" si="1"/>
        <v>22.894566666666666</v>
      </c>
      <c r="J16" s="28">
        <f t="shared" si="1"/>
        <v>65.713466666666662</v>
      </c>
    </row>
    <row r="17" spans="1:11" s="61" customFormat="1" x14ac:dyDescent="0.25">
      <c r="A17" s="101" t="s">
        <v>29</v>
      </c>
      <c r="B17" s="21" t="s">
        <v>31</v>
      </c>
      <c r="C17" s="22" t="s">
        <v>52</v>
      </c>
      <c r="D17" s="22" t="s">
        <v>55</v>
      </c>
      <c r="E17" s="14">
        <v>30</v>
      </c>
      <c r="F17" s="15">
        <v>3.73</v>
      </c>
      <c r="G17" s="15">
        <f>6*0.6</f>
        <v>3.5999999999999996</v>
      </c>
      <c r="H17" s="15">
        <f>0.35*0.6</f>
        <v>0.21</v>
      </c>
      <c r="I17" s="15">
        <f>0.05*0.6</f>
        <v>0.03</v>
      </c>
      <c r="J17" s="16">
        <f>0.95*0.6</f>
        <v>0.56999999999999995</v>
      </c>
    </row>
    <row r="18" spans="1:11" s="64" customFormat="1" ht="30" x14ac:dyDescent="0.25">
      <c r="A18" s="102"/>
      <c r="B18" s="8" t="s">
        <v>16</v>
      </c>
      <c r="C18" s="6" t="s">
        <v>45</v>
      </c>
      <c r="D18" s="6" t="s">
        <v>56</v>
      </c>
      <c r="E18" s="17" t="s">
        <v>57</v>
      </c>
      <c r="F18" s="7">
        <v>10.91</v>
      </c>
      <c r="G18" s="7">
        <f>359*0.25+162*0.1</f>
        <v>105.95</v>
      </c>
      <c r="H18" s="7">
        <f>7.06*0.25+2.6*0.1</f>
        <v>2.0249999999999999</v>
      </c>
      <c r="I18" s="7">
        <f>19.8*0.25+15*0.1</f>
        <v>6.45</v>
      </c>
      <c r="J18" s="9">
        <f>31.61*0.25+3.6*0.1</f>
        <v>8.2624999999999993</v>
      </c>
    </row>
    <row r="19" spans="1:11" s="38" customFormat="1" x14ac:dyDescent="0.25">
      <c r="A19" s="102"/>
      <c r="B19" s="8" t="s">
        <v>13</v>
      </c>
      <c r="C19" s="6" t="s">
        <v>48</v>
      </c>
      <c r="D19" s="6" t="s">
        <v>49</v>
      </c>
      <c r="E19" s="17">
        <v>65</v>
      </c>
      <c r="F19" s="7">
        <v>25.34</v>
      </c>
      <c r="G19" s="24">
        <f>273/75*65</f>
        <v>236.6</v>
      </c>
      <c r="H19" s="24">
        <f>10.11/75*65</f>
        <v>8.7620000000000005</v>
      </c>
      <c r="I19" s="24">
        <f>20.87/75*65</f>
        <v>18.087333333333333</v>
      </c>
      <c r="J19" s="25">
        <f>10.64/75*65</f>
        <v>9.2213333333333338</v>
      </c>
    </row>
    <row r="20" spans="1:11" s="63" customFormat="1" ht="15" customHeight="1" x14ac:dyDescent="0.25">
      <c r="A20" s="102"/>
      <c r="B20" s="8" t="s">
        <v>17</v>
      </c>
      <c r="C20" s="6" t="s">
        <v>50</v>
      </c>
      <c r="D20" s="6" t="s">
        <v>51</v>
      </c>
      <c r="E20" s="17">
        <v>140</v>
      </c>
      <c r="F20" s="7">
        <v>13.63</v>
      </c>
      <c r="G20" s="7">
        <f>1398*0.14</f>
        <v>195.72000000000003</v>
      </c>
      <c r="H20" s="7">
        <f>24.34*0.14</f>
        <v>3.4076000000000004</v>
      </c>
      <c r="I20" s="7">
        <f>35.83*0.14</f>
        <v>5.0162000000000004</v>
      </c>
      <c r="J20" s="9">
        <f>244.56*0.14</f>
        <v>34.238400000000006</v>
      </c>
    </row>
    <row r="21" spans="1:11" s="35" customFormat="1" x14ac:dyDescent="0.25">
      <c r="A21" s="102"/>
      <c r="B21" s="8" t="s">
        <v>62</v>
      </c>
      <c r="C21" s="6" t="s">
        <v>67</v>
      </c>
      <c r="D21" s="6" t="s">
        <v>68</v>
      </c>
      <c r="E21" s="17">
        <v>200</v>
      </c>
      <c r="F21" s="7">
        <v>20.420000000000002</v>
      </c>
      <c r="G21" s="7">
        <f>574*0.2</f>
        <v>114.80000000000001</v>
      </c>
      <c r="H21" s="7">
        <f>3.9*0.2</f>
        <v>0.78</v>
      </c>
      <c r="I21" s="7">
        <f>0.23*0.2</f>
        <v>4.6000000000000006E-2</v>
      </c>
      <c r="J21" s="9">
        <f>138.15*0.2</f>
        <v>27.630000000000003</v>
      </c>
    </row>
    <row r="22" spans="1:11" s="38" customFormat="1" x14ac:dyDescent="0.25">
      <c r="A22" s="102"/>
      <c r="B22" s="8" t="s">
        <v>21</v>
      </c>
      <c r="C22" s="6" t="s">
        <v>69</v>
      </c>
      <c r="D22" s="6" t="s">
        <v>70</v>
      </c>
      <c r="E22" s="66">
        <v>50</v>
      </c>
      <c r="F22" s="67">
        <v>22.24</v>
      </c>
      <c r="G22" s="48">
        <v>107.11</v>
      </c>
      <c r="H22" s="48">
        <v>1.61</v>
      </c>
      <c r="I22" s="48">
        <v>4.22</v>
      </c>
      <c r="J22" s="49">
        <v>15.72</v>
      </c>
    </row>
    <row r="23" spans="1:11" s="35" customFormat="1" ht="15.75" thickBot="1" x14ac:dyDescent="0.3">
      <c r="A23" s="103"/>
      <c r="B23" s="10" t="s">
        <v>14</v>
      </c>
      <c r="C23" s="11" t="s">
        <v>32</v>
      </c>
      <c r="D23" s="11" t="s">
        <v>33</v>
      </c>
      <c r="E23" s="18">
        <v>20</v>
      </c>
      <c r="F23" s="19">
        <v>0.88</v>
      </c>
      <c r="G23" s="19">
        <f>229.7*0.2</f>
        <v>45.94</v>
      </c>
      <c r="H23" s="12">
        <f>6.7*0.2</f>
        <v>1.34</v>
      </c>
      <c r="I23" s="12">
        <f>1.1*0.2</f>
        <v>0.22000000000000003</v>
      </c>
      <c r="J23" s="13">
        <f>48.3*0.2</f>
        <v>9.66</v>
      </c>
    </row>
    <row r="24" spans="1:11" s="30" customFormat="1" ht="16.5" thickBot="1" x14ac:dyDescent="0.3">
      <c r="A24" s="83" t="s">
        <v>15</v>
      </c>
      <c r="B24" s="90"/>
      <c r="C24" s="90"/>
      <c r="D24" s="90"/>
      <c r="E24" s="91"/>
      <c r="F24" s="20">
        <f>SUM(F17:F23)</f>
        <v>97.149999999999991</v>
      </c>
      <c r="G24" s="20">
        <f t="shared" ref="G24:J24" si="2">SUM(G17:G23)</f>
        <v>809.72</v>
      </c>
      <c r="H24" s="20">
        <f t="shared" si="2"/>
        <v>18.134599999999999</v>
      </c>
      <c r="I24" s="20">
        <f t="shared" si="2"/>
        <v>34.069533333333332</v>
      </c>
      <c r="J24" s="20">
        <f t="shared" si="2"/>
        <v>105.30223333333333</v>
      </c>
      <c r="K24"/>
    </row>
    <row r="25" spans="1:11" s="50" customFormat="1" x14ac:dyDescent="0.25">
      <c r="A25" s="96" t="s">
        <v>30</v>
      </c>
      <c r="B25" s="21" t="s">
        <v>18</v>
      </c>
      <c r="C25" s="22" t="s">
        <v>19</v>
      </c>
      <c r="D25" s="22" t="s">
        <v>20</v>
      </c>
      <c r="E25" s="14" t="s">
        <v>34</v>
      </c>
      <c r="F25" s="15">
        <v>2.31</v>
      </c>
      <c r="G25" s="15">
        <v>60</v>
      </c>
      <c r="H25" s="15">
        <v>7.0000000000000007E-2</v>
      </c>
      <c r="I25" s="15">
        <v>0.02</v>
      </c>
      <c r="J25" s="16">
        <v>15</v>
      </c>
      <c r="K25"/>
    </row>
    <row r="26" spans="1:11" s="50" customFormat="1" x14ac:dyDescent="0.25">
      <c r="A26" s="97"/>
      <c r="B26" s="51" t="s">
        <v>40</v>
      </c>
      <c r="C26" s="52" t="s">
        <v>41</v>
      </c>
      <c r="D26" s="52" t="s">
        <v>54</v>
      </c>
      <c r="E26" s="53">
        <v>60</v>
      </c>
      <c r="F26" s="54">
        <v>15.54</v>
      </c>
      <c r="G26" s="54">
        <f>330*0.6</f>
        <v>198</v>
      </c>
      <c r="H26" s="54">
        <f>1*0.6</f>
        <v>0.6</v>
      </c>
      <c r="I26" s="54">
        <f>0</f>
        <v>0</v>
      </c>
      <c r="J26" s="55">
        <f>81*0.6</f>
        <v>48.6</v>
      </c>
      <c r="K26"/>
    </row>
    <row r="27" spans="1:11" s="64" customFormat="1" ht="15.75" thickBot="1" x14ac:dyDescent="0.3">
      <c r="A27" s="97"/>
      <c r="B27" s="10" t="s">
        <v>46</v>
      </c>
      <c r="C27" s="11" t="s">
        <v>47</v>
      </c>
      <c r="D27" s="11" t="s">
        <v>71</v>
      </c>
      <c r="E27" s="18">
        <v>153</v>
      </c>
      <c r="F27" s="19">
        <v>24.44</v>
      </c>
      <c r="G27" s="56">
        <f>47*1.53</f>
        <v>71.91</v>
      </c>
      <c r="H27" s="56">
        <f>0.4*1.53</f>
        <v>0.6120000000000001</v>
      </c>
      <c r="I27" s="56">
        <f>0.4*1.53</f>
        <v>0.6120000000000001</v>
      </c>
      <c r="J27" s="57">
        <f>9.8*1.53</f>
        <v>14.994000000000002</v>
      </c>
      <c r="K27"/>
    </row>
    <row r="28" spans="1:11" s="50" customFormat="1" ht="16.5" thickBot="1" x14ac:dyDescent="0.3">
      <c r="A28" s="98" t="s">
        <v>15</v>
      </c>
      <c r="B28" s="99"/>
      <c r="C28" s="99"/>
      <c r="D28" s="99"/>
      <c r="E28" s="100"/>
      <c r="F28" s="3">
        <f>SUM(F25:F27)</f>
        <v>42.29</v>
      </c>
      <c r="G28" s="3">
        <f>SUM(G25:G27)</f>
        <v>329.90999999999997</v>
      </c>
      <c r="H28" s="3">
        <f>SUM(H25:H27)</f>
        <v>1.282</v>
      </c>
      <c r="I28" s="3">
        <f>SUM(I25:I27)</f>
        <v>0.63200000000000012</v>
      </c>
      <c r="J28" s="3">
        <f>SUM(J25:J27)</f>
        <v>78.594000000000008</v>
      </c>
      <c r="K28"/>
    </row>
    <row r="30" spans="1:11" ht="15.75" thickBot="1" x14ac:dyDescent="0.3">
      <c r="A30" s="81" t="s">
        <v>25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1" ht="15.75" x14ac:dyDescent="0.25">
      <c r="A31" s="23"/>
      <c r="B31" s="23"/>
      <c r="C31" s="80" t="s">
        <v>23</v>
      </c>
      <c r="D31" s="80"/>
      <c r="G31" s="82"/>
      <c r="H31" s="82"/>
      <c r="I31" s="82"/>
      <c r="J31" s="82"/>
    </row>
    <row r="32" spans="1:11" x14ac:dyDescent="0.25">
      <c r="A32" s="1"/>
      <c r="B32" s="1"/>
      <c r="C32" s="1"/>
      <c r="D32" s="1"/>
    </row>
    <row r="33" spans="1:2" x14ac:dyDescent="0.25">
      <c r="A33" s="95" t="s">
        <v>24</v>
      </c>
      <c r="B33" s="95"/>
    </row>
    <row r="34" spans="1:2" x14ac:dyDescent="0.25">
      <c r="A34" s="95" t="s">
        <v>26</v>
      </c>
      <c r="B34" s="95"/>
    </row>
    <row r="35" spans="1:2" x14ac:dyDescent="0.25">
      <c r="A35" s="4"/>
    </row>
  </sheetData>
  <mergeCells count="15">
    <mergeCell ref="A33:B33"/>
    <mergeCell ref="A34:B34"/>
    <mergeCell ref="A25:A27"/>
    <mergeCell ref="A28:E28"/>
    <mergeCell ref="A17:A23"/>
    <mergeCell ref="B1:C1"/>
    <mergeCell ref="G1:J1"/>
    <mergeCell ref="C31:D31"/>
    <mergeCell ref="A30:J30"/>
    <mergeCell ref="G31:J31"/>
    <mergeCell ref="A10:E10"/>
    <mergeCell ref="A11:A15"/>
    <mergeCell ref="A16:E16"/>
    <mergeCell ref="A24:E24"/>
    <mergeCell ref="A3:A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G24" sqref="G24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104" t="s">
        <v>22</v>
      </c>
      <c r="C1" s="105"/>
      <c r="D1" s="1" t="s">
        <v>1</v>
      </c>
      <c r="E1" s="26"/>
      <c r="F1" s="1" t="s">
        <v>2</v>
      </c>
      <c r="G1" s="77">
        <v>44844</v>
      </c>
      <c r="H1" s="78"/>
      <c r="I1" s="78"/>
      <c r="J1" s="79"/>
      <c r="K1" s="1"/>
      <c r="L1" s="1"/>
    </row>
    <row r="2" spans="1:12" ht="15.75" thickBot="1" x14ac:dyDescent="0.3">
      <c r="A2" s="32" t="s">
        <v>3</v>
      </c>
      <c r="B2" s="40" t="s">
        <v>4</v>
      </c>
      <c r="C2" s="41" t="s">
        <v>5</v>
      </c>
      <c r="D2" s="41" t="s">
        <v>6</v>
      </c>
      <c r="E2" s="41" t="s">
        <v>7</v>
      </c>
      <c r="F2" s="41" t="s">
        <v>8</v>
      </c>
      <c r="G2" s="41" t="s">
        <v>9</v>
      </c>
      <c r="H2" s="41" t="s">
        <v>10</v>
      </c>
      <c r="I2" s="41" t="s">
        <v>11</v>
      </c>
      <c r="J2" s="42" t="s">
        <v>12</v>
      </c>
    </row>
    <row r="3" spans="1:12" s="64" customFormat="1" x14ac:dyDescent="0.25">
      <c r="A3" s="108" t="s">
        <v>60</v>
      </c>
      <c r="B3" s="21" t="s">
        <v>13</v>
      </c>
      <c r="C3" s="22" t="s">
        <v>72</v>
      </c>
      <c r="D3" s="22" t="s">
        <v>73</v>
      </c>
      <c r="E3" s="14" t="s">
        <v>74</v>
      </c>
      <c r="F3" s="15">
        <v>63.69</v>
      </c>
      <c r="G3" s="73">
        <v>315.08</v>
      </c>
      <c r="H3" s="73">
        <v>9.1199999999999992</v>
      </c>
      <c r="I3" s="73">
        <v>17.73</v>
      </c>
      <c r="J3" s="74">
        <v>29.77</v>
      </c>
    </row>
    <row r="4" spans="1:12" s="43" customFormat="1" x14ac:dyDescent="0.25">
      <c r="A4" s="109"/>
      <c r="B4" s="8" t="s">
        <v>18</v>
      </c>
      <c r="C4" s="6" t="s">
        <v>42</v>
      </c>
      <c r="D4" s="6" t="s">
        <v>43</v>
      </c>
      <c r="E4" s="17" t="s">
        <v>44</v>
      </c>
      <c r="F4" s="7">
        <v>3.71</v>
      </c>
      <c r="G4" s="7">
        <v>62</v>
      </c>
      <c r="H4" s="24">
        <v>0.13</v>
      </c>
      <c r="I4" s="24">
        <v>0.02</v>
      </c>
      <c r="J4" s="25">
        <v>15.2</v>
      </c>
    </row>
    <row r="5" spans="1:12" s="64" customFormat="1" x14ac:dyDescent="0.25">
      <c r="A5" s="109"/>
      <c r="B5" s="8" t="s">
        <v>21</v>
      </c>
      <c r="C5" s="6" t="s">
        <v>65</v>
      </c>
      <c r="D5" s="6" t="s">
        <v>66</v>
      </c>
      <c r="E5" s="17">
        <v>50</v>
      </c>
      <c r="F5" s="7">
        <v>7.45</v>
      </c>
      <c r="G5" s="48">
        <v>198.6</v>
      </c>
      <c r="H5" s="48">
        <v>4.0999999999999996</v>
      </c>
      <c r="I5" s="48">
        <v>7.7</v>
      </c>
      <c r="J5" s="49">
        <v>28.2</v>
      </c>
      <c r="K5"/>
    </row>
    <row r="6" spans="1:12" ht="15.75" thickBot="1" x14ac:dyDescent="0.3">
      <c r="A6" s="110"/>
      <c r="B6" s="10" t="s">
        <v>14</v>
      </c>
      <c r="C6" s="11" t="s">
        <v>32</v>
      </c>
      <c r="D6" s="11" t="s">
        <v>33</v>
      </c>
      <c r="E6" s="18">
        <v>49.5</v>
      </c>
      <c r="F6" s="19">
        <v>2.15</v>
      </c>
      <c r="G6" s="19">
        <f>229.7*0.495</f>
        <v>113.7015</v>
      </c>
      <c r="H6" s="12">
        <f>6.7*0.495</f>
        <v>3.3165</v>
      </c>
      <c r="I6" s="12">
        <f>1.1*0.495</f>
        <v>0.54449999999999998</v>
      </c>
      <c r="J6" s="13">
        <f>48.3*0.495</f>
        <v>23.9085</v>
      </c>
    </row>
    <row r="7" spans="1:12" ht="16.5" thickBot="1" x14ac:dyDescent="0.3">
      <c r="A7" s="106" t="s">
        <v>15</v>
      </c>
      <c r="B7" s="90"/>
      <c r="C7" s="90"/>
      <c r="D7" s="90"/>
      <c r="E7" s="107"/>
      <c r="F7" s="20">
        <f>SUM(F3:F6)</f>
        <v>77</v>
      </c>
      <c r="G7" s="20">
        <f>SUM(G4:G6)</f>
        <v>374.30150000000003</v>
      </c>
      <c r="H7" s="20">
        <f>SUM(H4:H6)</f>
        <v>7.5465</v>
      </c>
      <c r="I7" s="20">
        <f>SUM(I4:I6)</f>
        <v>8.2645</v>
      </c>
      <c r="J7" s="20">
        <f>SUM(J4:J6)</f>
        <v>67.308499999999995</v>
      </c>
    </row>
    <row r="8" spans="1:12" s="27" customFormat="1" x14ac:dyDescent="0.25">
      <c r="A8" s="111" t="s">
        <v>35</v>
      </c>
      <c r="B8" s="21" t="s">
        <v>13</v>
      </c>
      <c r="C8" s="22" t="s">
        <v>63</v>
      </c>
      <c r="D8" s="22" t="s">
        <v>75</v>
      </c>
      <c r="E8" s="14" t="s">
        <v>76</v>
      </c>
      <c r="F8" s="15">
        <v>24.24</v>
      </c>
      <c r="G8" s="73">
        <f>1123*0.15+364*0.1</f>
        <v>204.85</v>
      </c>
      <c r="H8" s="73">
        <f>36.78*0.15+23.2*0.1</f>
        <v>7.8369999999999997</v>
      </c>
      <c r="I8" s="73">
        <f>30.1*0.15+29.5*0.1</f>
        <v>7.4649999999999999</v>
      </c>
      <c r="J8" s="74">
        <f>176.3*0.15</f>
        <v>26.445</v>
      </c>
      <c r="K8"/>
    </row>
    <row r="9" spans="1:12" s="27" customFormat="1" x14ac:dyDescent="0.25">
      <c r="A9" s="112"/>
      <c r="B9" s="8" t="s">
        <v>18</v>
      </c>
      <c r="C9" s="6" t="s">
        <v>19</v>
      </c>
      <c r="D9" s="6" t="s">
        <v>20</v>
      </c>
      <c r="E9" s="17" t="s">
        <v>34</v>
      </c>
      <c r="F9" s="7">
        <v>2.31</v>
      </c>
      <c r="G9" s="7">
        <v>60</v>
      </c>
      <c r="H9" s="7">
        <v>7.0000000000000007E-2</v>
      </c>
      <c r="I9" s="7">
        <v>0.02</v>
      </c>
      <c r="J9" s="9">
        <v>15</v>
      </c>
    </row>
    <row r="10" spans="1:12" s="30" customFormat="1" ht="15.75" thickBot="1" x14ac:dyDescent="0.3">
      <c r="A10" s="113"/>
      <c r="B10" s="10" t="s">
        <v>14</v>
      </c>
      <c r="C10" s="11" t="s">
        <v>32</v>
      </c>
      <c r="D10" s="11" t="s">
        <v>33</v>
      </c>
      <c r="E10" s="18">
        <v>10.5</v>
      </c>
      <c r="F10" s="19">
        <v>0.45</v>
      </c>
      <c r="G10" s="19">
        <f>229.7*0.105</f>
        <v>24.118499999999997</v>
      </c>
      <c r="H10" s="12">
        <f>6.7*0.105</f>
        <v>0.70350000000000001</v>
      </c>
      <c r="I10" s="12">
        <f>1.1*0.105</f>
        <v>0.11550000000000001</v>
      </c>
      <c r="J10" s="13">
        <f>48.3*0.105</f>
        <v>5.0714999999999995</v>
      </c>
    </row>
    <row r="11" spans="1:12" ht="16.5" thickBot="1" x14ac:dyDescent="0.3">
      <c r="A11" s="114" t="s">
        <v>15</v>
      </c>
      <c r="B11" s="90"/>
      <c r="C11" s="90"/>
      <c r="D11" s="90"/>
      <c r="E11" s="107"/>
      <c r="F11" s="20">
        <f>SUM(F8:F10)</f>
        <v>26.999999999999996</v>
      </c>
      <c r="G11" s="20">
        <f>SUM(G8:G10)</f>
        <v>288.96850000000001</v>
      </c>
      <c r="H11" s="20">
        <f>SUM(H8:H10)</f>
        <v>8.6105</v>
      </c>
      <c r="I11" s="20">
        <f>SUM(I8:I10)</f>
        <v>7.6004999999999994</v>
      </c>
      <c r="J11" s="20">
        <f>SUM(J8:J10)</f>
        <v>46.516500000000001</v>
      </c>
    </row>
    <row r="12" spans="1:12" s="29" customFormat="1" ht="32.25" customHeight="1" x14ac:dyDescent="0.25">
      <c r="A12" s="101" t="s">
        <v>36</v>
      </c>
      <c r="B12" s="21" t="s">
        <v>18</v>
      </c>
      <c r="C12" s="22" t="s">
        <v>19</v>
      </c>
      <c r="D12" s="22" t="s">
        <v>20</v>
      </c>
      <c r="E12" s="14" t="s">
        <v>34</v>
      </c>
      <c r="F12" s="15">
        <v>2.31</v>
      </c>
      <c r="G12" s="15">
        <v>60</v>
      </c>
      <c r="H12" s="15">
        <v>7.0000000000000007E-2</v>
      </c>
      <c r="I12" s="15">
        <v>0.02</v>
      </c>
      <c r="J12" s="16">
        <v>15</v>
      </c>
    </row>
    <row r="13" spans="1:12" s="29" customFormat="1" ht="15.75" thickBot="1" x14ac:dyDescent="0.3">
      <c r="A13" s="103"/>
      <c r="B13" s="10" t="s">
        <v>40</v>
      </c>
      <c r="C13" s="11" t="s">
        <v>41</v>
      </c>
      <c r="D13" s="11" t="s">
        <v>77</v>
      </c>
      <c r="E13" s="18">
        <v>21</v>
      </c>
      <c r="F13" s="19">
        <v>4.6900000000000004</v>
      </c>
      <c r="G13" s="19">
        <v>86.1</v>
      </c>
      <c r="H13" s="19">
        <v>1.47</v>
      </c>
      <c r="I13" s="19">
        <v>2.1</v>
      </c>
      <c r="J13" s="31">
        <v>15.54</v>
      </c>
    </row>
    <row r="14" spans="1:12" ht="16.5" thickBot="1" x14ac:dyDescent="0.3">
      <c r="A14" s="83" t="s">
        <v>15</v>
      </c>
      <c r="B14" s="88"/>
      <c r="C14" s="88"/>
      <c r="D14" s="88"/>
      <c r="E14" s="115"/>
      <c r="F14" s="20">
        <f>SUM(F12:F13)</f>
        <v>7</v>
      </c>
      <c r="G14" s="20">
        <f>SUM(G12:G13)</f>
        <v>146.1</v>
      </c>
      <c r="H14" s="20">
        <f t="shared" ref="H14:J14" si="0">SUM(H12:H13)</f>
        <v>1.54</v>
      </c>
      <c r="I14" s="20">
        <f t="shared" si="0"/>
        <v>2.12</v>
      </c>
      <c r="J14" s="20">
        <f t="shared" si="0"/>
        <v>30.54</v>
      </c>
    </row>
    <row r="15" spans="1:12" ht="30" x14ac:dyDescent="0.25">
      <c r="A15" s="86" t="s">
        <v>37</v>
      </c>
      <c r="B15" s="21" t="s">
        <v>16</v>
      </c>
      <c r="C15" s="22" t="s">
        <v>45</v>
      </c>
      <c r="D15" s="22" t="s">
        <v>56</v>
      </c>
      <c r="E15" s="14" t="s">
        <v>57</v>
      </c>
      <c r="F15" s="15">
        <v>10.91</v>
      </c>
      <c r="G15" s="15">
        <f>359*0.25+162*0.1</f>
        <v>105.95</v>
      </c>
      <c r="H15" s="15">
        <f>7.06*0.25+2.6*0.1</f>
        <v>2.0249999999999999</v>
      </c>
      <c r="I15" s="15">
        <f>19.8*0.25+15*0.1</f>
        <v>6.45</v>
      </c>
      <c r="J15" s="16">
        <f>31.61*0.25+3.6*0.1</f>
        <v>8.2624999999999993</v>
      </c>
    </row>
    <row r="16" spans="1:12" s="61" customFormat="1" x14ac:dyDescent="0.25">
      <c r="A16" s="86"/>
      <c r="B16" s="44" t="s">
        <v>13</v>
      </c>
      <c r="C16" s="45" t="s">
        <v>48</v>
      </c>
      <c r="D16" s="45" t="s">
        <v>49</v>
      </c>
      <c r="E16" s="46">
        <v>43</v>
      </c>
      <c r="F16" s="58">
        <v>16.760000000000002</v>
      </c>
      <c r="G16" s="59">
        <f>273/75*43</f>
        <v>156.52000000000001</v>
      </c>
      <c r="H16" s="59">
        <f>10.11/75*43</f>
        <v>5.7964000000000002</v>
      </c>
      <c r="I16" s="59">
        <f>20.87/75*43</f>
        <v>11.965466666666666</v>
      </c>
      <c r="J16" s="60">
        <f>10.64/75*43</f>
        <v>6.1002666666666672</v>
      </c>
    </row>
    <row r="17" spans="1:10" s="61" customFormat="1" x14ac:dyDescent="0.25">
      <c r="A17" s="86"/>
      <c r="B17" s="8" t="s">
        <v>17</v>
      </c>
      <c r="C17" s="6" t="s">
        <v>50</v>
      </c>
      <c r="D17" s="6" t="s">
        <v>51</v>
      </c>
      <c r="E17" s="17">
        <v>140</v>
      </c>
      <c r="F17" s="7">
        <v>13.63</v>
      </c>
      <c r="G17" s="7">
        <f>1398*0.14</f>
        <v>195.72000000000003</v>
      </c>
      <c r="H17" s="7">
        <f>24.34*0.14</f>
        <v>3.4076000000000004</v>
      </c>
      <c r="I17" s="7">
        <f>35.83*0.14</f>
        <v>5.0162000000000004</v>
      </c>
      <c r="J17" s="9">
        <f>244.56*0.14</f>
        <v>34.238400000000006</v>
      </c>
    </row>
    <row r="18" spans="1:10" x14ac:dyDescent="0.25">
      <c r="A18" s="86"/>
      <c r="B18" s="8" t="s">
        <v>18</v>
      </c>
      <c r="C18" s="6" t="s">
        <v>19</v>
      </c>
      <c r="D18" s="6" t="s">
        <v>20</v>
      </c>
      <c r="E18" s="17" t="s">
        <v>34</v>
      </c>
      <c r="F18" s="7">
        <v>2.31</v>
      </c>
      <c r="G18" s="7">
        <v>60</v>
      </c>
      <c r="H18" s="7">
        <v>7.0000000000000007E-2</v>
      </c>
      <c r="I18" s="7">
        <v>0.02</v>
      </c>
      <c r="J18" s="9">
        <v>15</v>
      </c>
    </row>
    <row r="19" spans="1:10" s="29" customFormat="1" ht="15.75" thickBot="1" x14ac:dyDescent="0.3">
      <c r="A19" s="86"/>
      <c r="B19" s="10" t="s">
        <v>14</v>
      </c>
      <c r="C19" s="11" t="s">
        <v>32</v>
      </c>
      <c r="D19" s="11" t="s">
        <v>33</v>
      </c>
      <c r="E19" s="18">
        <v>32</v>
      </c>
      <c r="F19" s="19">
        <v>1.39</v>
      </c>
      <c r="G19" s="19">
        <f>229.7*0.32</f>
        <v>73.504000000000005</v>
      </c>
      <c r="H19" s="12">
        <f>6.7*0.32</f>
        <v>2.1440000000000001</v>
      </c>
      <c r="I19" s="12">
        <f>1.1*0.32</f>
        <v>0.35200000000000004</v>
      </c>
      <c r="J19" s="13">
        <f>48.3*0.32</f>
        <v>15.456</v>
      </c>
    </row>
    <row r="20" spans="1:10" ht="16.5" thickBot="1" x14ac:dyDescent="0.3">
      <c r="A20" s="83" t="s">
        <v>15</v>
      </c>
      <c r="B20" s="88"/>
      <c r="C20" s="88"/>
      <c r="D20" s="88"/>
      <c r="E20" s="89"/>
      <c r="F20" s="28">
        <f>SUM(F15:F19)</f>
        <v>45.000000000000007</v>
      </c>
      <c r="G20" s="28">
        <f t="shared" ref="G20:J20" si="1">SUM(G15:G19)</f>
        <v>591.69400000000007</v>
      </c>
      <c r="H20" s="28">
        <f t="shared" si="1"/>
        <v>13.443000000000001</v>
      </c>
      <c r="I20" s="28">
        <f t="shared" si="1"/>
        <v>23.803666666666668</v>
      </c>
      <c r="J20" s="28">
        <f t="shared" si="1"/>
        <v>79.057166666666674</v>
      </c>
    </row>
    <row r="21" spans="1:10" s="36" customFormat="1" x14ac:dyDescent="0.25">
      <c r="A21" s="86" t="s">
        <v>61</v>
      </c>
      <c r="B21" s="21" t="s">
        <v>31</v>
      </c>
      <c r="C21" s="22" t="s">
        <v>52</v>
      </c>
      <c r="D21" s="22" t="s">
        <v>55</v>
      </c>
      <c r="E21" s="14">
        <v>15</v>
      </c>
      <c r="F21" s="15">
        <v>1.87</v>
      </c>
      <c r="G21" s="15">
        <f>6*0.3</f>
        <v>1.7999999999999998</v>
      </c>
      <c r="H21" s="15">
        <f>0.35*0.3</f>
        <v>0.105</v>
      </c>
      <c r="I21" s="15">
        <f>0.05*0.3</f>
        <v>1.4999999999999999E-2</v>
      </c>
      <c r="J21" s="16">
        <f>0.95*0.3</f>
        <v>0.28499999999999998</v>
      </c>
    </row>
    <row r="22" spans="1:10" ht="30" x14ac:dyDescent="0.25">
      <c r="A22" s="86"/>
      <c r="B22" s="8" t="s">
        <v>16</v>
      </c>
      <c r="C22" s="6" t="s">
        <v>45</v>
      </c>
      <c r="D22" s="6" t="s">
        <v>56</v>
      </c>
      <c r="E22" s="17" t="s">
        <v>57</v>
      </c>
      <c r="F22" s="7">
        <v>10.91</v>
      </c>
      <c r="G22" s="7">
        <f>359*0.25+162*0.1</f>
        <v>105.95</v>
      </c>
      <c r="H22" s="7">
        <f>7.06*0.25+2.6*0.1</f>
        <v>2.0249999999999999</v>
      </c>
      <c r="I22" s="7">
        <f>19.8*0.25+15*0.1</f>
        <v>6.45</v>
      </c>
      <c r="J22" s="9">
        <f>31.61*0.25+3.6*0.1</f>
        <v>8.2624999999999993</v>
      </c>
    </row>
    <row r="23" spans="1:10" s="61" customFormat="1" x14ac:dyDescent="0.25">
      <c r="A23" s="86"/>
      <c r="B23" s="8" t="s">
        <v>13</v>
      </c>
      <c r="C23" s="6" t="s">
        <v>48</v>
      </c>
      <c r="D23" s="6" t="s">
        <v>49</v>
      </c>
      <c r="E23" s="17">
        <v>65</v>
      </c>
      <c r="F23" s="7">
        <v>25.34</v>
      </c>
      <c r="G23" s="24">
        <f>273/75*65</f>
        <v>236.6</v>
      </c>
      <c r="H23" s="24">
        <f>10.11/75*65</f>
        <v>8.7620000000000005</v>
      </c>
      <c r="I23" s="24">
        <f>20.87/75*65</f>
        <v>18.087333333333333</v>
      </c>
      <c r="J23" s="25">
        <f>10.64/75*65</f>
        <v>9.2213333333333338</v>
      </c>
    </row>
    <row r="24" spans="1:10" s="63" customFormat="1" x14ac:dyDescent="0.25">
      <c r="A24" s="86"/>
      <c r="B24" s="8" t="s">
        <v>17</v>
      </c>
      <c r="C24" s="6" t="s">
        <v>50</v>
      </c>
      <c r="D24" s="6" t="s">
        <v>51</v>
      </c>
      <c r="E24" s="17">
        <v>140</v>
      </c>
      <c r="F24" s="7">
        <v>13.63</v>
      </c>
      <c r="G24" s="7">
        <f>1398*0.14</f>
        <v>195.72000000000003</v>
      </c>
      <c r="H24" s="7">
        <f>24.34*0.14</f>
        <v>3.4076000000000004</v>
      </c>
      <c r="I24" s="7">
        <f>35.83*0.14</f>
        <v>5.0162000000000004</v>
      </c>
      <c r="J24" s="9">
        <f>244.56*0.14</f>
        <v>34.238400000000006</v>
      </c>
    </row>
    <row r="25" spans="1:10" s="63" customFormat="1" x14ac:dyDescent="0.25">
      <c r="A25" s="86"/>
      <c r="B25" s="8" t="s">
        <v>62</v>
      </c>
      <c r="C25" s="6" t="s">
        <v>67</v>
      </c>
      <c r="D25" s="6" t="s">
        <v>68</v>
      </c>
      <c r="E25" s="17">
        <v>200</v>
      </c>
      <c r="F25" s="7">
        <v>20.420000000000002</v>
      </c>
      <c r="G25" s="7">
        <f>574*0.2</f>
        <v>114.80000000000001</v>
      </c>
      <c r="H25" s="7">
        <f>3.9*0.2</f>
        <v>0.78</v>
      </c>
      <c r="I25" s="7">
        <f>0.23*0.2</f>
        <v>4.6000000000000006E-2</v>
      </c>
      <c r="J25" s="9">
        <f>138.15*0.2</f>
        <v>27.630000000000003</v>
      </c>
    </row>
    <row r="26" spans="1:10" x14ac:dyDescent="0.25">
      <c r="A26" s="86"/>
      <c r="B26" s="8" t="s">
        <v>21</v>
      </c>
      <c r="C26" s="6" t="s">
        <v>78</v>
      </c>
      <c r="D26" s="6" t="s">
        <v>79</v>
      </c>
      <c r="E26" s="66">
        <v>50</v>
      </c>
      <c r="F26" s="67">
        <v>3.84</v>
      </c>
      <c r="G26" s="48">
        <v>160.5</v>
      </c>
      <c r="H26" s="48">
        <v>3.39</v>
      </c>
      <c r="I26" s="48">
        <v>6.98</v>
      </c>
      <c r="J26" s="49">
        <v>21.07</v>
      </c>
    </row>
    <row r="27" spans="1:10" ht="15.75" thickBot="1" x14ac:dyDescent="0.3">
      <c r="A27" s="86"/>
      <c r="B27" s="10" t="s">
        <v>14</v>
      </c>
      <c r="C27" s="11" t="s">
        <v>32</v>
      </c>
      <c r="D27" s="11" t="s">
        <v>33</v>
      </c>
      <c r="E27" s="18">
        <v>22.5</v>
      </c>
      <c r="F27" s="19">
        <v>0.99</v>
      </c>
      <c r="G27" s="19">
        <f>229.7*0.225</f>
        <v>51.682499999999997</v>
      </c>
      <c r="H27" s="12">
        <f>6.7*0.225</f>
        <v>1.5075000000000001</v>
      </c>
      <c r="I27" s="12">
        <f>1.1*0.225</f>
        <v>0.24750000000000003</v>
      </c>
      <c r="J27" s="13">
        <f>48.3*0.225</f>
        <v>10.8675</v>
      </c>
    </row>
    <row r="28" spans="1:10" ht="16.5" thickBot="1" x14ac:dyDescent="0.3">
      <c r="A28" s="83" t="s">
        <v>15</v>
      </c>
      <c r="B28" s="84"/>
      <c r="C28" s="84"/>
      <c r="D28" s="84"/>
      <c r="E28" s="116"/>
      <c r="F28" s="69">
        <f>SUM(F21:F27)</f>
        <v>77.000000000000014</v>
      </c>
      <c r="G28" s="69">
        <f t="shared" ref="G28:J28" si="2">SUM(G21:G27)</f>
        <v>867.05250000000012</v>
      </c>
      <c r="H28" s="69">
        <f t="shared" si="2"/>
        <v>19.9771</v>
      </c>
      <c r="I28" s="69">
        <f t="shared" si="2"/>
        <v>36.842033333333333</v>
      </c>
      <c r="J28" s="69">
        <f t="shared" si="2"/>
        <v>111.57473333333334</v>
      </c>
    </row>
    <row r="30" spans="1:10" ht="15.75" thickBot="1" x14ac:dyDescent="0.3">
      <c r="A30" s="81" t="s">
        <v>25</v>
      </c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5.75" x14ac:dyDescent="0.25">
      <c r="A31" s="23"/>
      <c r="B31" s="23"/>
      <c r="C31" s="80" t="s">
        <v>23</v>
      </c>
      <c r="D31" s="80"/>
      <c r="G31" s="82"/>
      <c r="H31" s="82"/>
      <c r="I31" s="82"/>
      <c r="J31" s="82"/>
    </row>
    <row r="32" spans="1:10" x14ac:dyDescent="0.25">
      <c r="A32" s="1"/>
      <c r="B32" s="1"/>
      <c r="C32" s="1"/>
      <c r="D32" s="1"/>
    </row>
    <row r="33" spans="1:2" x14ac:dyDescent="0.25">
      <c r="A33" s="95" t="s">
        <v>24</v>
      </c>
      <c r="B33" s="95"/>
    </row>
    <row r="34" spans="1:2" x14ac:dyDescent="0.25">
      <c r="A34" s="95" t="s">
        <v>26</v>
      </c>
      <c r="B34" s="95"/>
    </row>
    <row r="35" spans="1:2" x14ac:dyDescent="0.25">
      <c r="A35" s="4"/>
    </row>
  </sheetData>
  <mergeCells count="17">
    <mergeCell ref="A33:B33"/>
    <mergeCell ref="A34:B34"/>
    <mergeCell ref="A8:A10"/>
    <mergeCell ref="A11:E11"/>
    <mergeCell ref="A12:A13"/>
    <mergeCell ref="A14:E14"/>
    <mergeCell ref="A21:A27"/>
    <mergeCell ref="A28:E28"/>
    <mergeCell ref="A30:J30"/>
    <mergeCell ref="C31:D31"/>
    <mergeCell ref="G31:J31"/>
    <mergeCell ref="A20:E20"/>
    <mergeCell ref="B1:C1"/>
    <mergeCell ref="G1:J1"/>
    <mergeCell ref="A7:E7"/>
    <mergeCell ref="A15:A19"/>
    <mergeCell ref="A3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2022-10-07T10:29:28Z</dcterms:modified>
</cp:coreProperties>
</file>