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H28" i="2"/>
  <c r="I28" i="2"/>
  <c r="J28" i="2"/>
  <c r="J27" i="2"/>
  <c r="I27" i="2"/>
  <c r="H27" i="2"/>
  <c r="G27" i="2"/>
  <c r="J26" i="2"/>
  <c r="I26" i="2"/>
  <c r="H26" i="2"/>
  <c r="G26" i="2"/>
  <c r="J24" i="2"/>
  <c r="I24" i="2"/>
  <c r="H24" i="2"/>
  <c r="G24" i="2"/>
  <c r="J23" i="2"/>
  <c r="I23" i="2"/>
  <c r="H23" i="2"/>
  <c r="G23" i="2"/>
  <c r="J22" i="2"/>
  <c r="I22" i="2"/>
  <c r="H22" i="2"/>
  <c r="G22" i="2"/>
  <c r="J15" i="2"/>
  <c r="I15" i="2"/>
  <c r="H15" i="2"/>
  <c r="G15" i="2"/>
  <c r="J12" i="2" l="1"/>
  <c r="I12" i="2"/>
  <c r="H12" i="2"/>
  <c r="G12" i="2"/>
  <c r="J8" i="2"/>
  <c r="I8" i="2"/>
  <c r="H8" i="2"/>
  <c r="G8" i="2"/>
  <c r="J3" i="2"/>
  <c r="I3" i="2"/>
  <c r="H3" i="2"/>
  <c r="G3" i="2"/>
  <c r="J21" i="1" l="1"/>
  <c r="I21" i="1"/>
  <c r="H21" i="1"/>
  <c r="G21" i="1"/>
  <c r="J23" i="1"/>
  <c r="I23" i="1"/>
  <c r="H23" i="1"/>
  <c r="G23" i="1"/>
  <c r="J19" i="1" l="1"/>
  <c r="I19" i="1"/>
  <c r="H19" i="1"/>
  <c r="J18" i="1"/>
  <c r="I18" i="1"/>
  <c r="H18" i="1"/>
  <c r="G18" i="1"/>
  <c r="G19" i="1"/>
  <c r="J17" i="1" l="1"/>
  <c r="I17" i="1"/>
  <c r="H17" i="1"/>
  <c r="G17" i="1"/>
  <c r="J14" i="1"/>
  <c r="I14" i="1"/>
  <c r="H14" i="1"/>
  <c r="G14" i="1"/>
  <c r="J12" i="1" l="1"/>
  <c r="I12" i="1"/>
  <c r="H12" i="1"/>
  <c r="G12" i="1"/>
  <c r="J7" i="1"/>
  <c r="I7" i="1"/>
  <c r="H7" i="1"/>
  <c r="G7" i="1"/>
  <c r="F28" i="2" l="1"/>
  <c r="G9" i="2" l="1"/>
  <c r="J6" i="2"/>
  <c r="I6" i="2"/>
  <c r="H6" i="2"/>
  <c r="G6" i="2"/>
  <c r="J5" i="2"/>
  <c r="I5" i="2"/>
  <c r="H5" i="2"/>
  <c r="G5" i="2"/>
  <c r="J4" i="2"/>
  <c r="I4" i="2"/>
  <c r="H4" i="2"/>
  <c r="G4" i="2"/>
  <c r="F20" i="1"/>
  <c r="J3" i="1" l="1"/>
  <c r="I3" i="1"/>
  <c r="H3" i="1"/>
  <c r="G3" i="1"/>
  <c r="F8" i="1"/>
  <c r="J10" i="2"/>
  <c r="I10" i="2"/>
  <c r="H10" i="2"/>
  <c r="G10" i="2"/>
  <c r="J20" i="2" l="1"/>
  <c r="I20" i="2"/>
  <c r="H20" i="2"/>
  <c r="G20" i="2"/>
  <c r="J18" i="2"/>
  <c r="I18" i="2"/>
  <c r="H18" i="2"/>
  <c r="G18" i="2"/>
  <c r="J17" i="2"/>
  <c r="I17" i="2"/>
  <c r="H17" i="2"/>
  <c r="G17" i="2"/>
  <c r="J16" i="1"/>
  <c r="I16" i="1"/>
  <c r="H16" i="1"/>
  <c r="G16" i="1"/>
  <c r="J10" i="1"/>
  <c r="I10" i="1"/>
  <c r="H10" i="1"/>
  <c r="G10" i="1"/>
  <c r="J4" i="1"/>
  <c r="J8" i="1" s="1"/>
  <c r="I4" i="1"/>
  <c r="I8" i="1" s="1"/>
  <c r="H4" i="1"/>
  <c r="H8" i="1" s="1"/>
  <c r="G4" i="1"/>
  <c r="G8" i="1" s="1"/>
  <c r="F9" i="2" l="1"/>
  <c r="J9" i="2" l="1"/>
  <c r="H9" i="2"/>
  <c r="I9" i="2"/>
  <c r="J15" i="1" l="1"/>
  <c r="I15" i="1"/>
  <c r="H15" i="1"/>
  <c r="G15" i="1"/>
  <c r="J9" i="1"/>
  <c r="I9" i="1"/>
  <c r="H9" i="1"/>
  <c r="G9" i="1"/>
  <c r="F21" i="2" l="1"/>
  <c r="J21" i="2"/>
  <c r="I21" i="2"/>
  <c r="H21" i="2"/>
  <c r="G21" i="2"/>
  <c r="F13" i="1" l="1"/>
  <c r="J20" i="1" l="1"/>
  <c r="I20" i="1"/>
  <c r="H20" i="1"/>
  <c r="G20" i="1"/>
  <c r="J13" i="1" l="1"/>
  <c r="I13" i="1"/>
  <c r="H13" i="1"/>
  <c r="G13" i="1"/>
  <c r="F24" i="1"/>
  <c r="J24" i="1"/>
  <c r="I24" i="1"/>
  <c r="H24" i="1"/>
  <c r="G24" i="1"/>
  <c r="G16" i="2" l="1"/>
  <c r="F16" i="2" l="1"/>
  <c r="H16" i="2"/>
  <c r="F13" i="2"/>
  <c r="G13" i="2" l="1"/>
  <c r="I13" i="2"/>
  <c r="J16" i="2"/>
  <c r="H13" i="2"/>
  <c r="J13" i="2"/>
  <c r="I16" i="2"/>
</calcChain>
</file>

<file path=xl/sharedStrings.xml><?xml version="1.0" encoding="utf-8"?>
<sst xmlns="http://schemas.openxmlformats.org/spreadsheetml/2006/main" count="187" uniqueCount="76">
  <si>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</si>
  <si>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</si>
  <si>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</si>
  <si>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</si>
  <si>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</si>
  <si>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</si>
  <si>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</si>
  <si>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</si>
  <si>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</si>
  <si>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</si>
  <si>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</si>
  <si>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</si>
  <si>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</si>
  <si>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</si>
  <si>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</si>
  <si>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</si>
  <si>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</si>
  <si>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</si>
  <si>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</si>
  <si>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</si>
  <si>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</si>
  <si>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</si>
  <si>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</si>
  <si>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</si>
  <si>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</si>
  <si>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</si>
  <si>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</si>
  <si>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</si>
  <si>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</si>
  <si>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</si>
  <si>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</si>
  <si>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</si>
  <si>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</si>
  <si>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</si>
  <si>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</si>
  <si>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</si>
  <si>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</si>
  <si>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</si>
  <si>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№309-2015г.</t>
  </si>
  <si>
    <t>Кондитерское изделие</t>
  </si>
  <si>
    <t>ПР</t>
  </si>
  <si>
    <t>№71-2015г.</t>
  </si>
  <si>
    <t>250/10/2</t>
  </si>
  <si>
    <t>Макароны отварные</t>
  </si>
  <si>
    <t>№82-2015г.</t>
  </si>
  <si>
    <t>Борщ со свежей капустой и картофелем со сметаной и зеленью</t>
  </si>
  <si>
    <t>ТТК №20</t>
  </si>
  <si>
    <t>№3-2015г.</t>
  </si>
  <si>
    <t>Бутерброд с сыром</t>
  </si>
  <si>
    <t>№686-2004г.</t>
  </si>
  <si>
    <t>Чай с лимоном</t>
  </si>
  <si>
    <t>200/15/7</t>
  </si>
  <si>
    <t>Плов "Школьный" из цыплят</t>
  </si>
  <si>
    <t>50/125</t>
  </si>
  <si>
    <t>25/62,5</t>
  </si>
  <si>
    <t>Макароны отварные с сыром</t>
  </si>
  <si>
    <t>Зефир бело-розовый</t>
  </si>
  <si>
    <t>150/10</t>
  </si>
  <si>
    <t>Котлета "Особая" из говядины и свинины</t>
  </si>
  <si>
    <t>№269-2015г.</t>
  </si>
  <si>
    <t>№379-2015г.</t>
  </si>
  <si>
    <t>Кофейный напиток с молоком</t>
  </si>
  <si>
    <t>Завтрак 5-11 кл с доплатой 70,00 руб. и льготники с доплатой 50,00 руб. 1 смена</t>
  </si>
  <si>
    <t>Обед 6-7 кл. с доплатой 70,00 руб. и льготники с доплатой 50,00 руб. 2-я смена</t>
  </si>
  <si>
    <t>Напиток (сладкое блюдо)</t>
  </si>
  <si>
    <t>Напиток</t>
  </si>
  <si>
    <t>Молочный коктейль "Авишка" 2,5 %</t>
  </si>
  <si>
    <t>№422-2015г.</t>
  </si>
  <si>
    <t>Булочка ванильная</t>
  </si>
  <si>
    <t>Овощи натуральные свежие (помидоры)</t>
  </si>
  <si>
    <t>№306-2015г.</t>
  </si>
  <si>
    <t xml:space="preserve">Бобовые отварные (кукуруза сахарная консервированная) </t>
  </si>
  <si>
    <t>№348-2015г.</t>
  </si>
  <si>
    <t>Компот из кураги</t>
  </si>
  <si>
    <t>Печенье "Курабье"</t>
  </si>
  <si>
    <t>15/5/29,5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</si>
</sst>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/>
    <xf numFmtId="2" fontId="7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" fontId="6" fillId="0" borderId="14" xfId="0" applyNumberFormat="1" applyFont="1" applyBorder="1" applyAlignment="1">
      <alignment vertical="center" wrapText="1"/>
    </xf>
    <xf numFmtId="2" fontId="6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2" fontId="7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right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2" fontId="6" fillId="0" borderId="15" xfId="0" applyNumberFormat="1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3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9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0" xfId="0" applyFont="1"/>
    <xf numFmtId="49" fontId="6" fillId="0" borderId="9" xfId="0" applyNumberFormat="1" applyFont="1" applyBorder="1" applyAlignment="1">
      <alignment horizontal="right" vertical="center" wrapText="1"/>
    </xf>
    <xf numFmtId="2" fontId="10" fillId="0" borderId="4" xfId="1" applyNumberFormat="1" applyFont="1" applyBorder="1" applyAlignment="1">
      <alignment horizontal="right" vertical="center" wrapText="1"/>
    </xf>
    <xf numFmtId="0" fontId="6" fillId="0" borderId="0" xfId="0" applyFont="1"/>
    <xf numFmtId="2" fontId="10" fillId="0" borderId="12" xfId="1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0" fontId="12" fillId="0" borderId="4" xfId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2" fontId="10" fillId="0" borderId="9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right" vertical="center" wrapText="1"/>
    </xf>
    <xf numFmtId="2" fontId="6" fillId="0" borderId="9" xfId="2" applyNumberFormat="1" applyFont="1" applyBorder="1" applyAlignment="1">
      <alignment horizontal="right" vertical="center" wrapText="1"/>
    </xf>
    <xf numFmtId="2" fontId="6" fillId="0" borderId="10" xfId="2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/>
    <xf numFmtId="2" fontId="6" fillId="0" borderId="12" xfId="0" applyNumberFormat="1" applyFont="1" applyBorder="1" applyAlignment="1">
      <alignment vertical="center" wrapText="1"/>
    </xf>
    <xf numFmtId="0" fontId="12" fillId="0" borderId="9" xfId="1" applyFont="1" applyBorder="1" applyAlignment="1">
      <alignment horizontal="left" vertical="center" wrapText="1"/>
    </xf>
    <xf numFmtId="2" fontId="10" fillId="0" borderId="9" xfId="1" applyNumberFormat="1" applyFont="1" applyBorder="1" applyAlignment="1">
      <alignment horizontal="right" vertical="center" wrapText="1"/>
    </xf>
    <xf numFmtId="2" fontId="10" fillId="0" borderId="10" xfId="1" applyNumberFormat="1" applyFont="1" applyBorder="1" applyAlignment="1">
      <alignment horizontal="right" vertical="center" wrapText="1"/>
    </xf>
    <xf numFmtId="0" fontId="6" fillId="0" borderId="0" xfId="0" applyFont="1"/>
    <xf numFmtId="0" fontId="6" fillId="0" borderId="9" xfId="2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right" vertical="center" wrapText="1"/>
    </xf>
    <xf numFmtId="2" fontId="7" fillId="0" borderId="26" xfId="0" applyNumberFormat="1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2" fontId="7" fillId="0" borderId="39" xfId="0" applyNumberFormat="1" applyFont="1" applyBorder="1" applyAlignment="1">
      <alignment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4" sqref="B14:J16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85" t="s">
        <v>22</v>
      </c>
      <c r="C1" s="86"/>
      <c r="D1" s="1" t="s">
        <v>1</v>
      </c>
      <c r="E1" s="26"/>
      <c r="F1" s="1" t="s">
        <v>2</v>
      </c>
      <c r="G1" s="87">
        <v>44848</v>
      </c>
      <c r="H1" s="88"/>
      <c r="I1" s="88"/>
      <c r="J1" s="89"/>
      <c r="K1" s="1"/>
      <c r="L1" s="1"/>
    </row>
    <row r="2" spans="1:12" ht="15.75" thickBot="1" x14ac:dyDescent="0.3">
      <c r="A2" s="31" t="s">
        <v>3</v>
      </c>
      <c r="B2" s="5" t="s">
        <v>4</v>
      </c>
      <c r="C2" s="32" t="s">
        <v>5</v>
      </c>
      <c r="D2" s="36" t="s">
        <v>6</v>
      </c>
      <c r="E2" s="36" t="s">
        <v>7</v>
      </c>
      <c r="F2" s="36" t="s">
        <v>8</v>
      </c>
      <c r="G2" s="5" t="s">
        <v>9</v>
      </c>
      <c r="H2" s="5" t="s">
        <v>10</v>
      </c>
      <c r="I2" s="5" t="s">
        <v>11</v>
      </c>
      <c r="J2" s="33" t="s">
        <v>12</v>
      </c>
    </row>
    <row r="3" spans="1:12" ht="15" customHeight="1" x14ac:dyDescent="0.25">
      <c r="A3" s="76" t="s">
        <v>27</v>
      </c>
      <c r="B3" s="21" t="s">
        <v>13</v>
      </c>
      <c r="C3" s="22" t="s">
        <v>59</v>
      </c>
      <c r="D3" s="70" t="s">
        <v>58</v>
      </c>
      <c r="E3" s="14">
        <v>60</v>
      </c>
      <c r="F3" s="15">
        <v>43.14</v>
      </c>
      <c r="G3" s="63">
        <f>144*1.2</f>
        <v>172.79999999999998</v>
      </c>
      <c r="H3" s="71">
        <f>8.37*1.2</f>
        <v>10.043999999999999</v>
      </c>
      <c r="I3" s="71">
        <f>9.17*1.2</f>
        <v>11.004</v>
      </c>
      <c r="J3" s="72">
        <f>6.56*1.2</f>
        <v>7.871999999999999</v>
      </c>
    </row>
    <row r="4" spans="1:12" s="50" customFormat="1" x14ac:dyDescent="0.25">
      <c r="A4" s="76"/>
      <c r="B4" s="8" t="s">
        <v>17</v>
      </c>
      <c r="C4" s="6" t="s">
        <v>38</v>
      </c>
      <c r="D4" s="6" t="s">
        <v>43</v>
      </c>
      <c r="E4" s="17">
        <v>120</v>
      </c>
      <c r="F4" s="7">
        <v>11.47</v>
      </c>
      <c r="G4" s="54">
        <f>112.3*1.2</f>
        <v>134.76</v>
      </c>
      <c r="H4" s="54">
        <f>3.68*1.2</f>
        <v>4.4160000000000004</v>
      </c>
      <c r="I4" s="54">
        <f>3.01*1.2</f>
        <v>3.6119999999999997</v>
      </c>
      <c r="J4" s="55">
        <f>17.63*1.2</f>
        <v>21.155999999999999</v>
      </c>
      <c r="K4"/>
    </row>
    <row r="5" spans="1:12" s="28" customFormat="1" x14ac:dyDescent="0.25">
      <c r="A5" s="76"/>
      <c r="B5" s="8" t="s">
        <v>65</v>
      </c>
      <c r="C5" s="6" t="s">
        <v>40</v>
      </c>
      <c r="D5" s="6" t="s">
        <v>66</v>
      </c>
      <c r="E5" s="17">
        <v>200</v>
      </c>
      <c r="F5" s="7">
        <v>37.24</v>
      </c>
      <c r="G5" s="7">
        <v>160</v>
      </c>
      <c r="H5" s="7">
        <v>6.2</v>
      </c>
      <c r="I5" s="7">
        <v>5</v>
      </c>
      <c r="J5" s="9">
        <v>22</v>
      </c>
      <c r="K5"/>
    </row>
    <row r="6" spans="1:12" s="67" customFormat="1" x14ac:dyDescent="0.25">
      <c r="A6" s="76"/>
      <c r="B6" s="8" t="s">
        <v>21</v>
      </c>
      <c r="C6" s="6" t="s">
        <v>67</v>
      </c>
      <c r="D6" s="6" t="s">
        <v>68</v>
      </c>
      <c r="E6" s="17">
        <v>50</v>
      </c>
      <c r="F6" s="7">
        <v>4.2300000000000004</v>
      </c>
      <c r="G6" s="7">
        <v>141.5</v>
      </c>
      <c r="H6" s="52">
        <v>3.95</v>
      </c>
      <c r="I6" s="52">
        <v>4.0599999999999996</v>
      </c>
      <c r="J6" s="69">
        <v>22.24</v>
      </c>
    </row>
    <row r="7" spans="1:12" s="68" customFormat="1" ht="15.75" thickBot="1" x14ac:dyDescent="0.3">
      <c r="A7" s="76"/>
      <c r="B7" s="10" t="s">
        <v>14</v>
      </c>
      <c r="C7" s="11" t="s">
        <v>32</v>
      </c>
      <c r="D7" s="11" t="s">
        <v>33</v>
      </c>
      <c r="E7" s="18">
        <v>24.5</v>
      </c>
      <c r="F7" s="19">
        <v>1.07</v>
      </c>
      <c r="G7" s="19">
        <f>229.7*0.245</f>
        <v>56.276499999999999</v>
      </c>
      <c r="H7" s="12">
        <f>6.7*0.245</f>
        <v>1.6415</v>
      </c>
      <c r="I7" s="12">
        <f>1.1*0.245</f>
        <v>0.26950000000000002</v>
      </c>
      <c r="J7" s="13">
        <f>48.3*0.245</f>
        <v>11.833499999999999</v>
      </c>
    </row>
    <row r="8" spans="1:12" ht="16.5" thickBot="1" x14ac:dyDescent="0.3">
      <c r="A8" s="93" t="s">
        <v>15</v>
      </c>
      <c r="B8" s="94"/>
      <c r="C8" s="94"/>
      <c r="D8" s="94"/>
      <c r="E8" s="95"/>
      <c r="F8" s="57">
        <f>SUM(F3:F7)</f>
        <v>97.149999999999991</v>
      </c>
      <c r="G8" s="57">
        <f>SUM(G3:G7)</f>
        <v>665.33649999999989</v>
      </c>
      <c r="H8" s="57">
        <f>SUM(H3:H7)</f>
        <v>26.2515</v>
      </c>
      <c r="I8" s="57">
        <f>SUM(I3:I7)</f>
        <v>23.945499999999999</v>
      </c>
      <c r="J8" s="57">
        <f>SUM(J3:J7)</f>
        <v>85.101500000000001</v>
      </c>
    </row>
    <row r="9" spans="1:12" ht="30" x14ac:dyDescent="0.25">
      <c r="A9" s="96" t="s">
        <v>28</v>
      </c>
      <c r="B9" s="21" t="s">
        <v>16</v>
      </c>
      <c r="C9" s="22" t="s">
        <v>44</v>
      </c>
      <c r="D9" s="22" t="s">
        <v>45</v>
      </c>
      <c r="E9" s="14" t="s">
        <v>42</v>
      </c>
      <c r="F9" s="15">
        <v>12.46</v>
      </c>
      <c r="G9" s="15">
        <f>415*0.25+162*0.1</f>
        <v>119.95</v>
      </c>
      <c r="H9" s="15">
        <f>7.21*0.25+2.6*0.1</f>
        <v>2.0625</v>
      </c>
      <c r="I9" s="15">
        <f>19.68*0.25+15*0.1</f>
        <v>6.42</v>
      </c>
      <c r="J9" s="16">
        <f>43.73*0.25+3.6*0.1</f>
        <v>11.292499999999999</v>
      </c>
      <c r="K9"/>
    </row>
    <row r="10" spans="1:12" x14ac:dyDescent="0.25">
      <c r="A10" s="96"/>
      <c r="B10" s="8" t="s">
        <v>13</v>
      </c>
      <c r="C10" s="6" t="s">
        <v>46</v>
      </c>
      <c r="D10" s="6" t="s">
        <v>52</v>
      </c>
      <c r="E10" s="17" t="s">
        <v>54</v>
      </c>
      <c r="F10" s="7">
        <v>26.86</v>
      </c>
      <c r="G10" s="24">
        <f>280.7/40*24</f>
        <v>168.42000000000002</v>
      </c>
      <c r="H10" s="24">
        <f>14/40*24</f>
        <v>8.3999999999999986</v>
      </c>
      <c r="I10" s="24">
        <f>14.1/40*24</f>
        <v>8.4599999999999991</v>
      </c>
      <c r="J10" s="25">
        <f>24.5/40*24</f>
        <v>14.700000000000001</v>
      </c>
      <c r="K10"/>
    </row>
    <row r="11" spans="1:12" s="28" customFormat="1" x14ac:dyDescent="0.25">
      <c r="A11" s="96"/>
      <c r="B11" s="8" t="s">
        <v>18</v>
      </c>
      <c r="C11" s="6" t="s">
        <v>19</v>
      </c>
      <c r="D11" s="6" t="s">
        <v>20</v>
      </c>
      <c r="E11" s="17" t="s">
        <v>34</v>
      </c>
      <c r="F11" s="7">
        <v>2.31</v>
      </c>
      <c r="G11" s="7">
        <v>60</v>
      </c>
      <c r="H11" s="7">
        <v>7.0000000000000007E-2</v>
      </c>
      <c r="I11" s="7">
        <v>0.02</v>
      </c>
      <c r="J11" s="9">
        <v>15</v>
      </c>
    </row>
    <row r="12" spans="1:12" ht="15.75" thickBot="1" x14ac:dyDescent="0.3">
      <c r="A12" s="96"/>
      <c r="B12" s="10" t="s">
        <v>14</v>
      </c>
      <c r="C12" s="11" t="s">
        <v>32</v>
      </c>
      <c r="D12" s="11" t="s">
        <v>33</v>
      </c>
      <c r="E12" s="18">
        <v>15</v>
      </c>
      <c r="F12" s="19">
        <v>0.66</v>
      </c>
      <c r="G12" s="19">
        <f>229.7*0.15</f>
        <v>34.454999999999998</v>
      </c>
      <c r="H12" s="12">
        <f>6.7*0.15</f>
        <v>1.0049999999999999</v>
      </c>
      <c r="I12" s="12">
        <f>1.1*0.15</f>
        <v>0.16500000000000001</v>
      </c>
      <c r="J12" s="13">
        <f>48.3*0.15</f>
        <v>7.2449999999999992</v>
      </c>
    </row>
    <row r="13" spans="1:12" ht="16.5" thickBot="1" x14ac:dyDescent="0.3">
      <c r="A13" s="97" t="s">
        <v>15</v>
      </c>
      <c r="B13" s="94"/>
      <c r="C13" s="94"/>
      <c r="D13" s="94"/>
      <c r="E13" s="98"/>
      <c r="F13" s="20">
        <f>SUM(F9:F12)</f>
        <v>42.29</v>
      </c>
      <c r="G13" s="20">
        <f t="shared" ref="G13:J13" si="0">SUM(G9:G12)</f>
        <v>382.82499999999999</v>
      </c>
      <c r="H13" s="20">
        <f t="shared" si="0"/>
        <v>11.537499999999998</v>
      </c>
      <c r="I13" s="20">
        <f t="shared" si="0"/>
        <v>15.064999999999998</v>
      </c>
      <c r="J13" s="20">
        <f t="shared" si="0"/>
        <v>48.237499999999997</v>
      </c>
    </row>
    <row r="14" spans="1:12" s="50" customFormat="1" ht="15.75" x14ac:dyDescent="0.25">
      <c r="A14" s="82" t="s">
        <v>29</v>
      </c>
      <c r="B14" s="46" t="s">
        <v>31</v>
      </c>
      <c r="C14" s="45" t="s">
        <v>41</v>
      </c>
      <c r="D14" s="45" t="s">
        <v>69</v>
      </c>
      <c r="E14" s="14">
        <v>30</v>
      </c>
      <c r="F14" s="15">
        <v>2.66</v>
      </c>
      <c r="G14" s="15">
        <f>11*0.6</f>
        <v>6.6</v>
      </c>
      <c r="H14" s="15">
        <f>0.55*0.6</f>
        <v>0.33</v>
      </c>
      <c r="I14" s="15">
        <f>0.1*0.6</f>
        <v>0.06</v>
      </c>
      <c r="J14" s="16">
        <f>1.9*0.6</f>
        <v>1.1399999999999999</v>
      </c>
    </row>
    <row r="15" spans="1:12" s="37" customFormat="1" ht="30" x14ac:dyDescent="0.25">
      <c r="A15" s="83"/>
      <c r="B15" s="8" t="s">
        <v>16</v>
      </c>
      <c r="C15" s="6" t="s">
        <v>44</v>
      </c>
      <c r="D15" s="6" t="s">
        <v>45</v>
      </c>
      <c r="E15" s="17" t="s">
        <v>42</v>
      </c>
      <c r="F15" s="7">
        <v>12.46</v>
      </c>
      <c r="G15" s="7">
        <f>415*0.25+162*0.1</f>
        <v>119.95</v>
      </c>
      <c r="H15" s="7">
        <f>7.21*0.25+2.6*0.1</f>
        <v>2.0625</v>
      </c>
      <c r="I15" s="7">
        <f>19.68*0.25+15*0.1</f>
        <v>6.42</v>
      </c>
      <c r="J15" s="9">
        <f>43.73*0.25+3.6*0.1</f>
        <v>11.292499999999999</v>
      </c>
    </row>
    <row r="16" spans="1:12" s="43" customFormat="1" x14ac:dyDescent="0.25">
      <c r="A16" s="83"/>
      <c r="B16" s="8" t="s">
        <v>13</v>
      </c>
      <c r="C16" s="6" t="s">
        <v>46</v>
      </c>
      <c r="D16" s="6" t="s">
        <v>52</v>
      </c>
      <c r="E16" s="17" t="s">
        <v>53</v>
      </c>
      <c r="F16" s="7">
        <v>53.72</v>
      </c>
      <c r="G16" s="24">
        <f>280.7/40*50</f>
        <v>350.875</v>
      </c>
      <c r="H16" s="24">
        <f>14/40*50</f>
        <v>17.5</v>
      </c>
      <c r="I16" s="24">
        <f>14.1/40*50</f>
        <v>17.625</v>
      </c>
      <c r="J16" s="25">
        <f>24.5/40*50</f>
        <v>30.625000000000004</v>
      </c>
      <c r="K16"/>
    </row>
    <row r="17" spans="1:11" s="50" customFormat="1" ht="15" customHeight="1" x14ac:dyDescent="0.25">
      <c r="A17" s="83"/>
      <c r="B17" s="8" t="s">
        <v>64</v>
      </c>
      <c r="C17" s="6" t="s">
        <v>72</v>
      </c>
      <c r="D17" s="56" t="s">
        <v>73</v>
      </c>
      <c r="E17" s="17">
        <v>200</v>
      </c>
      <c r="F17" s="7">
        <v>20.25</v>
      </c>
      <c r="G17" s="24">
        <f>574*0.2</f>
        <v>114.80000000000001</v>
      </c>
      <c r="H17" s="49">
        <f>3.9*0.2</f>
        <v>0.78</v>
      </c>
      <c r="I17" s="49">
        <f>0.23*0.2</f>
        <v>4.6000000000000006E-2</v>
      </c>
      <c r="J17" s="51">
        <f>138.15*0.2</f>
        <v>27.630000000000003</v>
      </c>
    </row>
    <row r="18" spans="1:11" s="34" customFormat="1" x14ac:dyDescent="0.25">
      <c r="A18" s="83"/>
      <c r="B18" s="8" t="s">
        <v>39</v>
      </c>
      <c r="C18" s="6" t="s">
        <v>40</v>
      </c>
      <c r="D18" s="6" t="s">
        <v>74</v>
      </c>
      <c r="E18" s="17">
        <v>25</v>
      </c>
      <c r="F18" s="7">
        <v>7</v>
      </c>
      <c r="G18" s="7">
        <f>83.3/17*25</f>
        <v>122.49999999999999</v>
      </c>
      <c r="H18" s="7">
        <f>0.78/17*25</f>
        <v>1.1470588235294117</v>
      </c>
      <c r="I18" s="7">
        <f>3.96/17*25</f>
        <v>5.8235294117647056</v>
      </c>
      <c r="J18" s="9">
        <f>11.27/17*25</f>
        <v>16.573529411764707</v>
      </c>
    </row>
    <row r="19" spans="1:11" s="34" customFormat="1" ht="15.75" thickBot="1" x14ac:dyDescent="0.3">
      <c r="A19" s="84"/>
      <c r="B19" s="10" t="s">
        <v>14</v>
      </c>
      <c r="C19" s="11" t="s">
        <v>32</v>
      </c>
      <c r="D19" s="11" t="s">
        <v>33</v>
      </c>
      <c r="E19" s="18">
        <v>24.5</v>
      </c>
      <c r="F19" s="19">
        <v>1.06</v>
      </c>
      <c r="G19" s="19">
        <f>229.7*0.245</f>
        <v>56.276499999999999</v>
      </c>
      <c r="H19" s="12">
        <f>6.7*0.245</f>
        <v>1.6415</v>
      </c>
      <c r="I19" s="12">
        <f>1.1*0.245</f>
        <v>0.26950000000000002</v>
      </c>
      <c r="J19" s="13">
        <f>48.3*0.245</f>
        <v>11.833499999999999</v>
      </c>
    </row>
    <row r="20" spans="1:11" s="29" customFormat="1" ht="16.5" thickBot="1" x14ac:dyDescent="0.3">
      <c r="A20" s="93" t="s">
        <v>15</v>
      </c>
      <c r="B20" s="94"/>
      <c r="C20" s="94"/>
      <c r="D20" s="94"/>
      <c r="E20" s="95"/>
      <c r="F20" s="20">
        <f>SUM(F14:F19)</f>
        <v>97.15</v>
      </c>
      <c r="G20" s="20">
        <f>SUM(G14:G19)</f>
        <v>771.00150000000008</v>
      </c>
      <c r="H20" s="20">
        <f>SUM(H14:H19)</f>
        <v>23.461058823529413</v>
      </c>
      <c r="I20" s="20">
        <f>SUM(I14:I19)</f>
        <v>30.244029411764707</v>
      </c>
      <c r="J20" s="20">
        <f>SUM(J14:J19)</f>
        <v>99.094529411764711</v>
      </c>
      <c r="K20"/>
    </row>
    <row r="21" spans="1:11" s="43" customFormat="1" x14ac:dyDescent="0.25">
      <c r="A21" s="77" t="s">
        <v>30</v>
      </c>
      <c r="B21" s="53" t="s">
        <v>31</v>
      </c>
      <c r="C21" s="45" t="s">
        <v>47</v>
      </c>
      <c r="D21" s="74" t="s">
        <v>48</v>
      </c>
      <c r="E21" s="48" t="s">
        <v>75</v>
      </c>
      <c r="F21" s="14">
        <v>24.96</v>
      </c>
      <c r="G21" s="15">
        <f>364*0.15+660*0.05+280*0.295</f>
        <v>170.2</v>
      </c>
      <c r="H21" s="65">
        <f>23.2*0.15+0.8*0.05+8*0.295</f>
        <v>5.88</v>
      </c>
      <c r="I21" s="65">
        <f>29.5*0.15+72.5*0.05+3*0.295</f>
        <v>8.9350000000000005</v>
      </c>
      <c r="J21" s="66">
        <f>0+1.3*0.05+54*0.295</f>
        <v>15.994999999999999</v>
      </c>
      <c r="K21"/>
    </row>
    <row r="22" spans="1:11" s="67" customFormat="1" ht="32.25" customHeight="1" x14ac:dyDescent="0.25">
      <c r="A22" s="78"/>
      <c r="B22" s="8" t="s">
        <v>18</v>
      </c>
      <c r="C22" s="6" t="s">
        <v>19</v>
      </c>
      <c r="D22" s="6" t="s">
        <v>20</v>
      </c>
      <c r="E22" s="17" t="s">
        <v>34</v>
      </c>
      <c r="F22" s="7">
        <v>2.31</v>
      </c>
      <c r="G22" s="7">
        <v>60</v>
      </c>
      <c r="H22" s="7">
        <v>7.0000000000000007E-2</v>
      </c>
      <c r="I22" s="7">
        <v>0.02</v>
      </c>
      <c r="J22" s="9">
        <v>15</v>
      </c>
    </row>
    <row r="23" spans="1:11" s="67" customFormat="1" ht="15.75" thickBot="1" x14ac:dyDescent="0.3">
      <c r="A23" s="78"/>
      <c r="B23" s="10" t="s">
        <v>39</v>
      </c>
      <c r="C23" s="11" t="s">
        <v>40</v>
      </c>
      <c r="D23" s="11" t="s">
        <v>56</v>
      </c>
      <c r="E23" s="18">
        <v>58</v>
      </c>
      <c r="F23" s="19">
        <v>15.02</v>
      </c>
      <c r="G23" s="19">
        <f>330*0.58</f>
        <v>191.39999999999998</v>
      </c>
      <c r="H23" s="19">
        <f>1*0.58</f>
        <v>0.57999999999999996</v>
      </c>
      <c r="I23" s="19">
        <f>0</f>
        <v>0</v>
      </c>
      <c r="J23" s="30">
        <f>81*0.58</f>
        <v>46.98</v>
      </c>
      <c r="K23"/>
    </row>
    <row r="24" spans="1:11" s="43" customFormat="1" ht="16.5" thickBot="1" x14ac:dyDescent="0.3">
      <c r="A24" s="79" t="s">
        <v>15</v>
      </c>
      <c r="B24" s="80"/>
      <c r="C24" s="80"/>
      <c r="D24" s="80"/>
      <c r="E24" s="81"/>
      <c r="F24" s="3">
        <f>SUM(F21:F23)</f>
        <v>42.29</v>
      </c>
      <c r="G24" s="3">
        <f>SUM(G21:G23)</f>
        <v>421.59999999999997</v>
      </c>
      <c r="H24" s="3">
        <f>SUM(H21:H23)</f>
        <v>6.53</v>
      </c>
      <c r="I24" s="3">
        <f>SUM(I21:I23)</f>
        <v>8.9550000000000001</v>
      </c>
      <c r="J24" s="3">
        <f>SUM(J21:J23)</f>
        <v>77.974999999999994</v>
      </c>
      <c r="K24"/>
    </row>
    <row r="26" spans="1:11" ht="15.75" thickBot="1" x14ac:dyDescent="0.3">
      <c r="A26" s="91" t="s">
        <v>25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1" ht="15.75" x14ac:dyDescent="0.25">
      <c r="A27" s="23"/>
      <c r="B27" s="23"/>
      <c r="C27" s="90" t="s">
        <v>23</v>
      </c>
      <c r="D27" s="90"/>
      <c r="G27" s="92"/>
      <c r="H27" s="92"/>
      <c r="I27" s="92"/>
      <c r="J27" s="92"/>
    </row>
    <row r="28" spans="1:11" x14ac:dyDescent="0.25">
      <c r="A28" s="1"/>
      <c r="B28" s="1"/>
      <c r="C28" s="1"/>
      <c r="D28" s="1"/>
    </row>
    <row r="29" spans="1:11" x14ac:dyDescent="0.25">
      <c r="A29" s="75" t="s">
        <v>24</v>
      </c>
      <c r="B29" s="75"/>
    </row>
    <row r="30" spans="1:11" x14ac:dyDescent="0.25">
      <c r="A30" s="75" t="s">
        <v>26</v>
      </c>
      <c r="B30" s="75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8:E8"/>
    <mergeCell ref="A9:A12"/>
    <mergeCell ref="A13:E13"/>
    <mergeCell ref="A20:E20"/>
    <mergeCell ref="A29:B29"/>
    <mergeCell ref="A30:B30"/>
    <mergeCell ref="A3:A7"/>
    <mergeCell ref="A21:A23"/>
    <mergeCell ref="A24:E24"/>
    <mergeCell ref="A14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workbookViewId="0">
      <selection activeCell="F28" sqref="F28:J28"/>
    </sheetView>
  </sheetViews>
  <sheetFormatPr defaultRowHeight="15" x14ac:dyDescent="0.25"/>
  <cols>
    <col min="1" max="1" width="27.85546875" style="62" customWidth="1"/>
    <col min="2" max="2" width="21.2851562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58" t="s">
        <v>0</v>
      </c>
      <c r="B1" s="106" t="s">
        <v>22</v>
      </c>
      <c r="C1" s="107"/>
      <c r="D1" s="1" t="s">
        <v>1</v>
      </c>
      <c r="E1" s="26"/>
      <c r="F1" s="1" t="s">
        <v>2</v>
      </c>
      <c r="G1" s="87">
        <v>44848</v>
      </c>
      <c r="H1" s="88"/>
      <c r="I1" s="88"/>
      <c r="J1" s="89"/>
      <c r="K1" s="1"/>
      <c r="L1" s="1"/>
    </row>
    <row r="2" spans="1:12" ht="15.75" thickBot="1" x14ac:dyDescent="0.3">
      <c r="A2" s="59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1" t="s">
        <v>12</v>
      </c>
    </row>
    <row r="3" spans="1:12" s="67" customFormat="1" ht="30" x14ac:dyDescent="0.25">
      <c r="A3" s="110" t="s">
        <v>62</v>
      </c>
      <c r="B3" s="53" t="s">
        <v>31</v>
      </c>
      <c r="C3" s="45" t="s">
        <v>70</v>
      </c>
      <c r="D3" s="45" t="s">
        <v>71</v>
      </c>
      <c r="E3" s="14">
        <v>12</v>
      </c>
      <c r="F3" s="15">
        <v>7.1</v>
      </c>
      <c r="G3" s="15">
        <f>736*0.012</f>
        <v>8.8320000000000007</v>
      </c>
      <c r="H3" s="15">
        <f>20.55*0.012</f>
        <v>0.24660000000000001</v>
      </c>
      <c r="I3" s="15">
        <f>29.1*0.012</f>
        <v>0.34920000000000001</v>
      </c>
      <c r="J3" s="16">
        <f>97.89*0.012</f>
        <v>1.1746799999999999</v>
      </c>
    </row>
    <row r="4" spans="1:12" ht="15.75" x14ac:dyDescent="0.25">
      <c r="A4" s="111"/>
      <c r="B4" s="8" t="s">
        <v>13</v>
      </c>
      <c r="C4" s="6" t="s">
        <v>59</v>
      </c>
      <c r="D4" s="56" t="s">
        <v>58</v>
      </c>
      <c r="E4" s="17">
        <v>60</v>
      </c>
      <c r="F4" s="7">
        <v>43.14</v>
      </c>
      <c r="G4" s="24">
        <f>144*1.2</f>
        <v>172.79999999999998</v>
      </c>
      <c r="H4" s="49">
        <f>8.37*1.2</f>
        <v>10.043999999999999</v>
      </c>
      <c r="I4" s="49">
        <f>9.17*1.2</f>
        <v>11.004</v>
      </c>
      <c r="J4" s="51">
        <f>6.56*1.2</f>
        <v>7.871999999999999</v>
      </c>
    </row>
    <row r="5" spans="1:12" s="38" customFormat="1" x14ac:dyDescent="0.25">
      <c r="A5" s="111"/>
      <c r="B5" s="8" t="s">
        <v>17</v>
      </c>
      <c r="C5" s="6" t="s">
        <v>38</v>
      </c>
      <c r="D5" s="6" t="s">
        <v>43</v>
      </c>
      <c r="E5" s="17">
        <v>120</v>
      </c>
      <c r="F5" s="7">
        <v>11.47</v>
      </c>
      <c r="G5" s="54">
        <f>112.3*1.2</f>
        <v>134.76</v>
      </c>
      <c r="H5" s="54">
        <f>3.68*1.2</f>
        <v>4.4160000000000004</v>
      </c>
      <c r="I5" s="54">
        <f>3.01*1.2</f>
        <v>3.6119999999999997</v>
      </c>
      <c r="J5" s="55">
        <f>17.63*1.2</f>
        <v>21.155999999999999</v>
      </c>
    </row>
    <row r="6" spans="1:12" s="42" customFormat="1" x14ac:dyDescent="0.25">
      <c r="A6" s="111"/>
      <c r="B6" s="8" t="s">
        <v>18</v>
      </c>
      <c r="C6" s="6" t="s">
        <v>60</v>
      </c>
      <c r="D6" s="6" t="s">
        <v>61</v>
      </c>
      <c r="E6" s="17">
        <v>200</v>
      </c>
      <c r="F6" s="7">
        <v>9.09</v>
      </c>
      <c r="G6" s="7">
        <f>503*0.2</f>
        <v>100.60000000000001</v>
      </c>
      <c r="H6" s="7">
        <f>15.83*0.2</f>
        <v>3.1660000000000004</v>
      </c>
      <c r="I6" s="7">
        <f>13.39*0.2</f>
        <v>2.6780000000000004</v>
      </c>
      <c r="J6" s="9">
        <f>79.73*0.2</f>
        <v>15.946000000000002</v>
      </c>
    </row>
    <row r="7" spans="1:12" s="50" customFormat="1" x14ac:dyDescent="0.25">
      <c r="A7" s="111"/>
      <c r="B7" s="8" t="s">
        <v>21</v>
      </c>
      <c r="C7" s="6" t="s">
        <v>67</v>
      </c>
      <c r="D7" s="6" t="s">
        <v>68</v>
      </c>
      <c r="E7" s="17">
        <v>50</v>
      </c>
      <c r="F7" s="7">
        <v>4.2300000000000004</v>
      </c>
      <c r="G7" s="7">
        <v>141.5</v>
      </c>
      <c r="H7" s="52">
        <v>3.95</v>
      </c>
      <c r="I7" s="52">
        <v>4.0599999999999996</v>
      </c>
      <c r="J7" s="69">
        <v>22.24</v>
      </c>
      <c r="K7"/>
    </row>
    <row r="8" spans="1:12" ht="15.75" thickBot="1" x14ac:dyDescent="0.3">
      <c r="A8" s="112"/>
      <c r="B8" s="10" t="s">
        <v>14</v>
      </c>
      <c r="C8" s="11" t="s">
        <v>32</v>
      </c>
      <c r="D8" s="11" t="s">
        <v>33</v>
      </c>
      <c r="E8" s="18">
        <v>45</v>
      </c>
      <c r="F8" s="19">
        <v>1.97</v>
      </c>
      <c r="G8" s="19">
        <f>229.7*0.45</f>
        <v>103.36499999999999</v>
      </c>
      <c r="H8" s="12">
        <f>6.7*0.45</f>
        <v>3.0150000000000001</v>
      </c>
      <c r="I8" s="12">
        <f>1.1*0.45</f>
        <v>0.49500000000000005</v>
      </c>
      <c r="J8" s="13">
        <f>48.3*0.45</f>
        <v>21.734999999999999</v>
      </c>
    </row>
    <row r="9" spans="1:12" ht="16.5" thickBot="1" x14ac:dyDescent="0.3">
      <c r="A9" s="108" t="s">
        <v>15</v>
      </c>
      <c r="B9" s="94"/>
      <c r="C9" s="94"/>
      <c r="D9" s="94"/>
      <c r="E9" s="98"/>
      <c r="F9" s="20">
        <f>SUM(F3:F8)</f>
        <v>77</v>
      </c>
      <c r="G9" s="20">
        <f>SUM(G3:G8)</f>
        <v>661.85699999999997</v>
      </c>
      <c r="H9" s="20">
        <f t="shared" ref="H9:J9" si="0">SUM(H3:H8)</f>
        <v>24.837599999999998</v>
      </c>
      <c r="I9" s="20">
        <f t="shared" si="0"/>
        <v>22.1982</v>
      </c>
      <c r="J9" s="20">
        <f t="shared" si="0"/>
        <v>90.123679999999993</v>
      </c>
    </row>
    <row r="10" spans="1:12" s="50" customFormat="1" x14ac:dyDescent="0.25">
      <c r="A10" s="99" t="s">
        <v>35</v>
      </c>
      <c r="B10" s="21" t="s">
        <v>13</v>
      </c>
      <c r="C10" s="22" t="s">
        <v>38</v>
      </c>
      <c r="D10" s="22" t="s">
        <v>55</v>
      </c>
      <c r="E10" s="14" t="s">
        <v>57</v>
      </c>
      <c r="F10" s="15">
        <v>24.24</v>
      </c>
      <c r="G10" s="63">
        <f>1123*0.15+364*0.1</f>
        <v>204.85</v>
      </c>
      <c r="H10" s="63">
        <f>36.78*0.15+23.2*0.1</f>
        <v>7.8369999999999997</v>
      </c>
      <c r="I10" s="63">
        <f>30.1*0.15+29.5*0.1</f>
        <v>7.4649999999999999</v>
      </c>
      <c r="J10" s="64">
        <f>176.3*0.15</f>
        <v>26.445</v>
      </c>
    </row>
    <row r="11" spans="1:12" s="27" customFormat="1" x14ac:dyDescent="0.25">
      <c r="A11" s="100"/>
      <c r="B11" s="8" t="s">
        <v>18</v>
      </c>
      <c r="C11" s="6" t="s">
        <v>19</v>
      </c>
      <c r="D11" s="6" t="s">
        <v>20</v>
      </c>
      <c r="E11" s="17" t="s">
        <v>34</v>
      </c>
      <c r="F11" s="7">
        <v>2.31</v>
      </c>
      <c r="G11" s="7">
        <v>60</v>
      </c>
      <c r="H11" s="7">
        <v>7.0000000000000007E-2</v>
      </c>
      <c r="I11" s="7">
        <v>0.02</v>
      </c>
      <c r="J11" s="9">
        <v>15</v>
      </c>
    </row>
    <row r="12" spans="1:12" s="29" customFormat="1" ht="15.75" thickBot="1" x14ac:dyDescent="0.3">
      <c r="A12" s="101"/>
      <c r="B12" s="10" t="s">
        <v>14</v>
      </c>
      <c r="C12" s="11" t="s">
        <v>32</v>
      </c>
      <c r="D12" s="11" t="s">
        <v>33</v>
      </c>
      <c r="E12" s="18">
        <v>10.5</v>
      </c>
      <c r="F12" s="19">
        <v>0.45</v>
      </c>
      <c r="G12" s="19">
        <f>229.7*0.105</f>
        <v>24.118499999999997</v>
      </c>
      <c r="H12" s="12">
        <f>6.7*0.105</f>
        <v>0.70350000000000001</v>
      </c>
      <c r="I12" s="12">
        <f>1.1*0.105</f>
        <v>0.11550000000000001</v>
      </c>
      <c r="J12" s="13">
        <f>48.3*0.105</f>
        <v>5.0714999999999995</v>
      </c>
    </row>
    <row r="13" spans="1:12" ht="16.5" thickBot="1" x14ac:dyDescent="0.3">
      <c r="A13" s="102" t="s">
        <v>15</v>
      </c>
      <c r="B13" s="94"/>
      <c r="C13" s="94"/>
      <c r="D13" s="94"/>
      <c r="E13" s="98"/>
      <c r="F13" s="20">
        <f>SUM(F10:F12)</f>
        <v>26.999999999999996</v>
      </c>
      <c r="G13" s="20">
        <f>SUM(G10:G12)</f>
        <v>288.96850000000001</v>
      </c>
      <c r="H13" s="20">
        <f>SUM(H10:H12)</f>
        <v>8.6105</v>
      </c>
      <c r="I13" s="20">
        <f>SUM(I10:I12)</f>
        <v>7.6004999999999994</v>
      </c>
      <c r="J13" s="20">
        <f>SUM(J10:J12)</f>
        <v>46.516500000000001</v>
      </c>
    </row>
    <row r="14" spans="1:12" s="28" customFormat="1" x14ac:dyDescent="0.25">
      <c r="A14" s="103" t="s">
        <v>36</v>
      </c>
      <c r="B14" s="21" t="s">
        <v>18</v>
      </c>
      <c r="C14" s="22" t="s">
        <v>19</v>
      </c>
      <c r="D14" s="22" t="s">
        <v>20</v>
      </c>
      <c r="E14" s="14" t="s">
        <v>34</v>
      </c>
      <c r="F14" s="15">
        <v>2.31</v>
      </c>
      <c r="G14" s="15">
        <v>60</v>
      </c>
      <c r="H14" s="15">
        <v>7.0000000000000007E-2</v>
      </c>
      <c r="I14" s="15">
        <v>0.02</v>
      </c>
      <c r="J14" s="16">
        <v>15</v>
      </c>
    </row>
    <row r="15" spans="1:12" s="28" customFormat="1" ht="32.25" customHeight="1" thickBot="1" x14ac:dyDescent="0.3">
      <c r="A15" s="104"/>
      <c r="B15" s="10" t="s">
        <v>39</v>
      </c>
      <c r="C15" s="11" t="s">
        <v>40</v>
      </c>
      <c r="D15" s="11" t="s">
        <v>74</v>
      </c>
      <c r="E15" s="18">
        <v>16</v>
      </c>
      <c r="F15" s="19">
        <v>4.6900000000000004</v>
      </c>
      <c r="G15" s="19">
        <f>83.3/17*16</f>
        <v>78.399999999999991</v>
      </c>
      <c r="H15" s="19">
        <f>0.78/17*16</f>
        <v>0.73411764705882354</v>
      </c>
      <c r="I15" s="19">
        <f>3.96/17*16</f>
        <v>3.7270588235294118</v>
      </c>
      <c r="J15" s="30">
        <f>11.27/17*16</f>
        <v>10.607058823529412</v>
      </c>
    </row>
    <row r="16" spans="1:12" ht="16.5" thickBot="1" x14ac:dyDescent="0.3">
      <c r="A16" s="93" t="s">
        <v>15</v>
      </c>
      <c r="B16" s="94"/>
      <c r="C16" s="94"/>
      <c r="D16" s="94"/>
      <c r="E16" s="95"/>
      <c r="F16" s="20">
        <f>SUM(F14:F15)</f>
        <v>7</v>
      </c>
      <c r="G16" s="20">
        <f>SUM(G14:G15)</f>
        <v>138.39999999999998</v>
      </c>
      <c r="H16" s="20">
        <f t="shared" ref="H16:J16" si="1">SUM(H14:H15)</f>
        <v>0.8041176470588236</v>
      </c>
      <c r="I16" s="20">
        <f t="shared" si="1"/>
        <v>3.7470588235294118</v>
      </c>
      <c r="J16" s="20">
        <f t="shared" si="1"/>
        <v>25.607058823529414</v>
      </c>
    </row>
    <row r="17" spans="1:10" ht="30" x14ac:dyDescent="0.25">
      <c r="A17" s="109" t="s">
        <v>37</v>
      </c>
      <c r="B17" s="21" t="s">
        <v>16</v>
      </c>
      <c r="C17" s="22" t="s">
        <v>44</v>
      </c>
      <c r="D17" s="22" t="s">
        <v>45</v>
      </c>
      <c r="E17" s="14" t="s">
        <v>42</v>
      </c>
      <c r="F17" s="15">
        <v>12.46</v>
      </c>
      <c r="G17" s="15">
        <f>415*0.25+162*0.1</f>
        <v>119.95</v>
      </c>
      <c r="H17" s="15">
        <f>7.21*0.25+2.6*0.1</f>
        <v>2.0625</v>
      </c>
      <c r="I17" s="15">
        <f>19.68*0.25+15*0.1</f>
        <v>6.42</v>
      </c>
      <c r="J17" s="16">
        <f>43.73*0.25+3.6*0.1</f>
        <v>11.292499999999999</v>
      </c>
    </row>
    <row r="18" spans="1:10" s="47" customFormat="1" x14ac:dyDescent="0.25">
      <c r="A18" s="109"/>
      <c r="B18" s="8" t="s">
        <v>13</v>
      </c>
      <c r="C18" s="6" t="s">
        <v>46</v>
      </c>
      <c r="D18" s="6" t="s">
        <v>52</v>
      </c>
      <c r="E18" s="17" t="s">
        <v>54</v>
      </c>
      <c r="F18" s="7">
        <v>26.86</v>
      </c>
      <c r="G18" s="24">
        <f>280.7/40*25</f>
        <v>175.4375</v>
      </c>
      <c r="H18" s="24">
        <f>14/40*25</f>
        <v>8.75</v>
      </c>
      <c r="I18" s="24">
        <f>14.1/40*25</f>
        <v>8.8125</v>
      </c>
      <c r="J18" s="25">
        <f>24.5/40*25</f>
        <v>15.312500000000002</v>
      </c>
    </row>
    <row r="19" spans="1:10" x14ac:dyDescent="0.25">
      <c r="A19" s="109"/>
      <c r="B19" s="8" t="s">
        <v>18</v>
      </c>
      <c r="C19" s="6" t="s">
        <v>49</v>
      </c>
      <c r="D19" s="6" t="s">
        <v>50</v>
      </c>
      <c r="E19" s="17" t="s">
        <v>51</v>
      </c>
      <c r="F19" s="7">
        <v>3.71</v>
      </c>
      <c r="G19" s="7">
        <v>62</v>
      </c>
      <c r="H19" s="7">
        <v>0.13</v>
      </c>
      <c r="I19" s="7">
        <v>0.02</v>
      </c>
      <c r="J19" s="9">
        <v>15.2</v>
      </c>
    </row>
    <row r="20" spans="1:10" ht="15.75" thickBot="1" x14ac:dyDescent="0.3">
      <c r="A20" s="109"/>
      <c r="B20" s="10" t="s">
        <v>14</v>
      </c>
      <c r="C20" s="11" t="s">
        <v>32</v>
      </c>
      <c r="D20" s="11" t="s">
        <v>33</v>
      </c>
      <c r="E20" s="18">
        <v>45</v>
      </c>
      <c r="F20" s="19">
        <v>1.97</v>
      </c>
      <c r="G20" s="19">
        <f>229.7*0.45</f>
        <v>103.36499999999999</v>
      </c>
      <c r="H20" s="12">
        <f>6.7*0.45</f>
        <v>3.0150000000000001</v>
      </c>
      <c r="I20" s="12">
        <f>1.1*0.45</f>
        <v>0.49500000000000005</v>
      </c>
      <c r="J20" s="13">
        <f>48.3*0.45</f>
        <v>21.734999999999999</v>
      </c>
    </row>
    <row r="21" spans="1:10" ht="16.5" thickBot="1" x14ac:dyDescent="0.3">
      <c r="A21" s="93" t="s">
        <v>15</v>
      </c>
      <c r="B21" s="105"/>
      <c r="C21" s="105"/>
      <c r="D21" s="105"/>
      <c r="E21" s="113"/>
      <c r="F21" s="114">
        <f>SUM(F17:F20)</f>
        <v>45</v>
      </c>
      <c r="G21" s="114">
        <f>SUM(G17:G20)</f>
        <v>460.7525</v>
      </c>
      <c r="H21" s="114">
        <f>SUM(H17:H20)</f>
        <v>13.957500000000001</v>
      </c>
      <c r="I21" s="114">
        <f>SUM(I17:I20)</f>
        <v>15.747499999999999</v>
      </c>
      <c r="J21" s="114">
        <f>SUM(J17:J20)</f>
        <v>63.54</v>
      </c>
    </row>
    <row r="22" spans="1:10" s="35" customFormat="1" ht="15.75" x14ac:dyDescent="0.25">
      <c r="A22" s="109" t="s">
        <v>63</v>
      </c>
      <c r="B22" s="46" t="s">
        <v>31</v>
      </c>
      <c r="C22" s="45" t="s">
        <v>41</v>
      </c>
      <c r="D22" s="45" t="s">
        <v>69</v>
      </c>
      <c r="E22" s="14">
        <v>30</v>
      </c>
      <c r="F22" s="15">
        <v>2.66</v>
      </c>
      <c r="G22" s="15">
        <f>11*0.6</f>
        <v>6.6</v>
      </c>
      <c r="H22" s="15">
        <f>0.55*0.6</f>
        <v>0.33</v>
      </c>
      <c r="I22" s="15">
        <f>0.1*0.6</f>
        <v>0.06</v>
      </c>
      <c r="J22" s="16">
        <f>1.9*0.6</f>
        <v>1.1399999999999999</v>
      </c>
    </row>
    <row r="23" spans="1:10" s="73" customFormat="1" ht="30" x14ac:dyDescent="0.25">
      <c r="A23" s="109"/>
      <c r="B23" s="8" t="s">
        <v>16</v>
      </c>
      <c r="C23" s="6" t="s">
        <v>44</v>
      </c>
      <c r="D23" s="6" t="s">
        <v>45</v>
      </c>
      <c r="E23" s="17" t="s">
        <v>42</v>
      </c>
      <c r="F23" s="7">
        <v>12.46</v>
      </c>
      <c r="G23" s="7">
        <f>415*0.25+162*0.1</f>
        <v>119.95</v>
      </c>
      <c r="H23" s="7">
        <f>7.21*0.25+2.6*0.1</f>
        <v>2.0625</v>
      </c>
      <c r="I23" s="7">
        <f>19.68*0.25+15*0.1</f>
        <v>6.42</v>
      </c>
      <c r="J23" s="9">
        <f>43.73*0.25+3.6*0.1</f>
        <v>11.292499999999999</v>
      </c>
    </row>
    <row r="24" spans="1:10" x14ac:dyDescent="0.25">
      <c r="A24" s="109"/>
      <c r="B24" s="8" t="s">
        <v>13</v>
      </c>
      <c r="C24" s="6" t="s">
        <v>46</v>
      </c>
      <c r="D24" s="6" t="s">
        <v>52</v>
      </c>
      <c r="E24" s="17" t="s">
        <v>53</v>
      </c>
      <c r="F24" s="7">
        <v>53.72</v>
      </c>
      <c r="G24" s="24">
        <f>280.7/40*50</f>
        <v>350.875</v>
      </c>
      <c r="H24" s="24">
        <f>14/40*50</f>
        <v>17.5</v>
      </c>
      <c r="I24" s="24">
        <f>14.1/40*50</f>
        <v>17.625</v>
      </c>
      <c r="J24" s="25">
        <f>24.5/40*50</f>
        <v>30.625000000000004</v>
      </c>
    </row>
    <row r="25" spans="1:10" s="44" customFormat="1" x14ac:dyDescent="0.25">
      <c r="A25" s="109"/>
      <c r="B25" s="8" t="s">
        <v>18</v>
      </c>
      <c r="C25" s="6" t="s">
        <v>19</v>
      </c>
      <c r="D25" s="6" t="s">
        <v>20</v>
      </c>
      <c r="E25" s="17" t="s">
        <v>34</v>
      </c>
      <c r="F25" s="7">
        <v>2.31</v>
      </c>
      <c r="G25" s="7">
        <v>60</v>
      </c>
      <c r="H25" s="7">
        <v>7.0000000000000007E-2</v>
      </c>
      <c r="I25" s="7">
        <v>0.02</v>
      </c>
      <c r="J25" s="9">
        <v>15</v>
      </c>
    </row>
    <row r="26" spans="1:10" ht="30" x14ac:dyDescent="0.25">
      <c r="A26" s="109"/>
      <c r="B26" s="8" t="s">
        <v>39</v>
      </c>
      <c r="C26" s="6" t="s">
        <v>40</v>
      </c>
      <c r="D26" s="6" t="s">
        <v>74</v>
      </c>
      <c r="E26" s="17">
        <v>15</v>
      </c>
      <c r="F26" s="7">
        <v>4.2</v>
      </c>
      <c r="G26" s="7">
        <f>83.3/17*15</f>
        <v>73.499999999999986</v>
      </c>
      <c r="H26" s="7">
        <f>0.78/17*15</f>
        <v>0.68823529411764706</v>
      </c>
      <c r="I26" s="7">
        <f>3.96/17*15</f>
        <v>3.4941176470588236</v>
      </c>
      <c r="J26" s="9">
        <f>11.27/17*15</f>
        <v>9.9441176470588246</v>
      </c>
    </row>
    <row r="27" spans="1:10" ht="15.75" thickBot="1" x14ac:dyDescent="0.3">
      <c r="A27" s="109"/>
      <c r="B27" s="10" t="s">
        <v>14</v>
      </c>
      <c r="C27" s="11" t="s">
        <v>32</v>
      </c>
      <c r="D27" s="11" t="s">
        <v>33</v>
      </c>
      <c r="E27" s="18">
        <v>38</v>
      </c>
      <c r="F27" s="19">
        <v>1.65</v>
      </c>
      <c r="G27" s="19">
        <f>229.7*0.38</f>
        <v>87.286000000000001</v>
      </c>
      <c r="H27" s="12">
        <f>6.7*0.38</f>
        <v>2.5460000000000003</v>
      </c>
      <c r="I27" s="12">
        <f>1.1*0.38</f>
        <v>0.41800000000000004</v>
      </c>
      <c r="J27" s="13">
        <f>48.3*0.38</f>
        <v>18.353999999999999</v>
      </c>
    </row>
    <row r="28" spans="1:10" ht="16.5" thickBot="1" x14ac:dyDescent="0.3">
      <c r="A28" s="93" t="s">
        <v>15</v>
      </c>
      <c r="B28" s="115"/>
      <c r="C28" s="115"/>
      <c r="D28" s="115"/>
      <c r="E28" s="116"/>
      <c r="F28" s="117">
        <f>SUM(F22:F27)</f>
        <v>77.000000000000014</v>
      </c>
      <c r="G28" s="117">
        <f t="shared" ref="G28:J28" si="2">SUM(G22:G27)</f>
        <v>698.21100000000001</v>
      </c>
      <c r="H28" s="117">
        <f t="shared" si="2"/>
        <v>23.196735294117644</v>
      </c>
      <c r="I28" s="117">
        <f t="shared" si="2"/>
        <v>28.037117647058821</v>
      </c>
      <c r="J28" s="117">
        <f t="shared" si="2"/>
        <v>86.355617647058821</v>
      </c>
    </row>
    <row r="30" spans="1:10" ht="15.75" thickBot="1" x14ac:dyDescent="0.3">
      <c r="A30" s="91" t="s">
        <v>25</v>
      </c>
      <c r="B30" s="91"/>
      <c r="C30" s="91"/>
      <c r="D30" s="91"/>
      <c r="E30" s="91"/>
      <c r="F30" s="91"/>
      <c r="G30" s="91"/>
      <c r="H30" s="91"/>
      <c r="I30" s="91"/>
      <c r="J30" s="91"/>
    </row>
    <row r="31" spans="1:10" ht="15.75" x14ac:dyDescent="0.25">
      <c r="A31" s="60"/>
      <c r="B31" s="23"/>
      <c r="C31" s="90" t="s">
        <v>23</v>
      </c>
      <c r="D31" s="90"/>
      <c r="G31" s="92"/>
      <c r="H31" s="92"/>
      <c r="I31" s="92"/>
      <c r="J31" s="92"/>
    </row>
    <row r="32" spans="1:10" x14ac:dyDescent="0.25">
      <c r="A32" s="58"/>
      <c r="B32" s="1"/>
      <c r="C32" s="1"/>
      <c r="D32" s="1"/>
    </row>
    <row r="33" spans="1:2" x14ac:dyDescent="0.25">
      <c r="A33" s="75" t="s">
        <v>24</v>
      </c>
      <c r="B33" s="75"/>
    </row>
    <row r="34" spans="1:2" x14ac:dyDescent="0.25">
      <c r="A34" s="75" t="s">
        <v>26</v>
      </c>
      <c r="B34" s="75"/>
    </row>
    <row r="35" spans="1:2" x14ac:dyDescent="0.25">
      <c r="A35" s="61"/>
    </row>
  </sheetData>
  <mergeCells count="17">
    <mergeCell ref="B1:C1"/>
    <mergeCell ref="G1:J1"/>
    <mergeCell ref="A9:E9"/>
    <mergeCell ref="A17:A20"/>
    <mergeCell ref="A3:A8"/>
    <mergeCell ref="A33:B33"/>
    <mergeCell ref="A34:B34"/>
    <mergeCell ref="A10:A12"/>
    <mergeCell ref="A13:E13"/>
    <mergeCell ref="A14:A15"/>
    <mergeCell ref="A16:E16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2022-10-13T10:38:32Z</dcterms:modified>
</cp:coreProperties>
</file>