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  <c r="H3" i="1"/>
  <c r="G3" i="1"/>
  <c r="J3" i="2"/>
  <c r="I3" i="2"/>
  <c r="H3" i="2"/>
  <c r="G3" i="2"/>
  <c r="J17" i="2"/>
  <c r="I17" i="2"/>
  <c r="H17" i="2"/>
  <c r="G17" i="2"/>
  <c r="J28" i="2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6" i="2"/>
  <c r="I16" i="2"/>
  <c r="H16" i="2"/>
  <c r="G16" i="2"/>
  <c r="J13" i="2"/>
  <c r="I13" i="2"/>
  <c r="H13" i="2"/>
  <c r="G13" i="2"/>
  <c r="J11" i="2" l="1"/>
  <c r="I11" i="2"/>
  <c r="H11" i="2"/>
  <c r="G11" i="2"/>
  <c r="J4" i="2"/>
  <c r="I4" i="2"/>
  <c r="H4" i="2"/>
  <c r="G4" i="2"/>
  <c r="J7" i="2"/>
  <c r="I7" i="2"/>
  <c r="H7" i="2"/>
  <c r="G7" i="2"/>
  <c r="F8" i="2"/>
  <c r="J5" i="2"/>
  <c r="I5" i="2"/>
  <c r="H5" i="2"/>
  <c r="G5" i="2"/>
  <c r="J26" i="1"/>
  <c r="I26" i="1"/>
  <c r="H26" i="1"/>
  <c r="G26" i="1"/>
  <c r="G25" i="1"/>
  <c r="H25" i="1"/>
  <c r="I25" i="1"/>
  <c r="J25" i="1"/>
  <c r="J22" i="1"/>
  <c r="I22" i="1"/>
  <c r="H22" i="1"/>
  <c r="G22" i="1"/>
  <c r="J21" i="1"/>
  <c r="I21" i="1"/>
  <c r="H21" i="1"/>
  <c r="G21" i="1"/>
  <c r="J18" i="1"/>
  <c r="I18" i="1"/>
  <c r="H18" i="1"/>
  <c r="G18" i="1"/>
  <c r="J15" i="1"/>
  <c r="I15" i="1"/>
  <c r="H15" i="1"/>
  <c r="G15" i="1"/>
  <c r="J13" i="1"/>
  <c r="I13" i="1"/>
  <c r="H13" i="1"/>
  <c r="G13" i="1"/>
  <c r="J11" i="1"/>
  <c r="I11" i="1"/>
  <c r="H11" i="1"/>
  <c r="G11" i="1"/>
  <c r="J10" i="1"/>
  <c r="I10" i="1"/>
  <c r="H10" i="1"/>
  <c r="G10" i="1"/>
  <c r="J17" i="1"/>
  <c r="I17" i="1"/>
  <c r="H17" i="1"/>
  <c r="G17" i="1"/>
  <c r="G4" i="1" l="1"/>
  <c r="H4" i="1"/>
  <c r="I4" i="1"/>
  <c r="J4" i="1"/>
  <c r="G6" i="1"/>
  <c r="H6" i="1"/>
  <c r="I6" i="1"/>
  <c r="J6" i="1"/>
  <c r="J16" i="1"/>
  <c r="I16" i="1"/>
  <c r="H16" i="1"/>
  <c r="G16" i="1"/>
  <c r="J9" i="1"/>
  <c r="I9" i="1"/>
  <c r="H9" i="1"/>
  <c r="G9" i="1"/>
  <c r="J7" i="1" l="1"/>
  <c r="I7" i="1"/>
  <c r="H7" i="1"/>
  <c r="G7" i="1"/>
  <c r="G8" i="1"/>
  <c r="H8" i="1"/>
  <c r="I8" i="1"/>
  <c r="J8" i="1"/>
  <c r="F8" i="1"/>
  <c r="G14" i="1" l="1"/>
  <c r="H14" i="1"/>
  <c r="F14" i="1"/>
  <c r="J14" i="1"/>
  <c r="I14" i="1"/>
  <c r="G8" i="2" l="1"/>
  <c r="H8" i="2"/>
  <c r="I8" i="2"/>
  <c r="J8" i="2"/>
  <c r="J9" i="2" l="1"/>
  <c r="I9" i="2"/>
  <c r="H9" i="2"/>
  <c r="G9" i="2"/>
  <c r="G27" i="1"/>
  <c r="H27" i="1"/>
  <c r="I27" i="1"/>
  <c r="J27" i="1"/>
  <c r="F27" i="1"/>
  <c r="F23" i="1" l="1"/>
  <c r="G29" i="2" l="1"/>
  <c r="H29" i="2"/>
  <c r="I29" i="2"/>
  <c r="J29" i="2"/>
  <c r="F29" i="2"/>
  <c r="F12" i="2" l="1"/>
  <c r="J12" i="2"/>
  <c r="I12" i="2"/>
  <c r="H12" i="2"/>
  <c r="G12" i="2"/>
  <c r="F21" i="2" l="1"/>
  <c r="J21" i="2"/>
  <c r="I21" i="2"/>
  <c r="H21" i="2"/>
  <c r="G21" i="2"/>
  <c r="F15" i="2"/>
  <c r="J15" i="2"/>
  <c r="I15" i="2"/>
  <c r="H15" i="2"/>
  <c r="G15" i="2"/>
  <c r="J23" i="1" l="1"/>
  <c r="I23" i="1"/>
  <c r="H23" i="1"/>
  <c r="G23" i="1"/>
</calcChain>
</file>

<file path=xl/sharedStrings.xml><?xml version="1.0" encoding="utf-8"?>
<sst xmlns="http://schemas.openxmlformats.org/spreadsheetml/2006/main" count="202" uniqueCount="74">
  <si>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</si>
  <si>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</si>
  <si>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</si>
  <si>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</si>
  <si>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</si>
  <si>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</si>
  <si>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</si>
  <si>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</si>
  <si>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</si>
  <si>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</si>
  <si>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</si>
  <si>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</si>
  <si>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</si>
  <si>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</si>
  <si>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</si>
  <si>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</si>
  <si>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</si>
  <si>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</si>
  <si>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</si>
  <si>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</si>
  <si>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</si>
  <si>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</si>
  <si>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</si>
  <si>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</si>
  <si>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</si>
  <si>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</si>
  <si>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</si>
  <si>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</si>
  <si>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</si>
  <si>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</si>
  <si>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</si>
  <si>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</si>
  <si>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</si>
  <si>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</si>
  <si>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</si>
  <si>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</si>
  <si>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</si>
  <si>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</si>
  <si>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</si>
  <si>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Фрукт</t>
  </si>
  <si>
    <t>№338-2015г.</t>
  </si>
  <si>
    <t>№173-2015г.</t>
  </si>
  <si>
    <t>Каша вязкая молочная из пшённой крупы с маслом</t>
  </si>
  <si>
    <t>200/10</t>
  </si>
  <si>
    <t>Фрукт свежий (яблоко)</t>
  </si>
  <si>
    <t>Овощи натуральные свежие (помидоры)</t>
  </si>
  <si>
    <t>№71-2015г.</t>
  </si>
  <si>
    <t>Рис отварной</t>
  </si>
  <si>
    <t>№304-2015г</t>
  </si>
  <si>
    <t>Бутерброд с сыром</t>
  </si>
  <si>
    <t>№3-2015г.</t>
  </si>
  <si>
    <t>Фрукт свежий (груша)</t>
  </si>
  <si>
    <t>250/10/2</t>
  </si>
  <si>
    <t>Кондитерское изделие</t>
  </si>
  <si>
    <t>ПР</t>
  </si>
  <si>
    <t>№686-2004г.</t>
  </si>
  <si>
    <t>Чай с лимоном</t>
  </si>
  <si>
    <t>200/15/7</t>
  </si>
  <si>
    <t>№82-2015г.</t>
  </si>
  <si>
    <t>Борщ со свежей капустой и картофелем со сметаной и зеленью</t>
  </si>
  <si>
    <t>ТТК №20</t>
  </si>
  <si>
    <t>Плов "Школьный" из цыплят</t>
  </si>
  <si>
    <t>Завтрак 5-11 кл с доплатой 70,00 руб. и льготники с доплатой 50,00 руб. 1 смена</t>
  </si>
  <si>
    <t>Овощи натуральные свежие (огурцы)</t>
  </si>
  <si>
    <t>№424-2015г.</t>
  </si>
  <si>
    <t>Булочка домашняя</t>
  </si>
  <si>
    <t>Пряник сливочный</t>
  </si>
  <si>
    <t>ТТК №25</t>
  </si>
  <si>
    <t>Котлета "Дальневосточная" из минтая и свинины</t>
  </si>
  <si>
    <t>20/3/25</t>
  </si>
  <si>
    <t>40/100</t>
  </si>
  <si>
    <t>№2-2015г.</t>
  </si>
  <si>
    <t>Бутерброд с повидлом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</si>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</sst>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3">
    <xf numFmtId="0" fontId="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7" fillId="0" borderId="20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/>
    <xf numFmtId="0" fontId="6" fillId="0" borderId="24" xfId="0" applyFont="1" applyBorder="1" applyAlignment="1">
      <alignment vertical="center" wrapText="1"/>
    </xf>
    <xf numFmtId="0" fontId="6" fillId="0" borderId="0" xfId="0" applyFont="1"/>
    <xf numFmtId="2" fontId="7" fillId="0" borderId="26" xfId="0" applyNumberFormat="1" applyFont="1" applyBorder="1" applyAlignment="1">
      <alignment vertical="center" wrapText="1"/>
    </xf>
    <xf numFmtId="0" fontId="6" fillId="0" borderId="0" xfId="0" applyFont="1"/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/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49" fontId="6" fillId="0" borderId="10" xfId="0" applyNumberFormat="1" applyFont="1" applyBorder="1" applyAlignment="1">
      <alignment horizontal="right" vertical="center" wrapText="1"/>
    </xf>
    <xf numFmtId="2" fontId="6" fillId="0" borderId="10" xfId="1" applyNumberFormat="1" applyFont="1" applyBorder="1" applyAlignment="1">
      <alignment horizontal="right" vertical="center" wrapText="1"/>
    </xf>
    <xf numFmtId="2" fontId="6" fillId="0" borderId="11" xfId="1" applyNumberFormat="1" applyFont="1" applyBorder="1" applyAlignment="1">
      <alignment horizontal="right" vertical="center" wrapText="1"/>
    </xf>
    <xf numFmtId="2" fontId="10" fillId="0" borderId="5" xfId="1" applyNumberFormat="1" applyFont="1" applyBorder="1" applyAlignment="1">
      <alignment horizontal="right" vertical="center" wrapText="1"/>
    </xf>
    <xf numFmtId="2" fontId="10" fillId="0" borderId="13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0" xfId="0" applyFont="1"/>
    <xf numFmtId="2" fontId="12" fillId="0" borderId="10" xfId="2" applyNumberFormat="1" applyFont="1" applyBorder="1" applyAlignment="1">
      <alignment horizontal="right" vertical="center"/>
    </xf>
    <xf numFmtId="0" fontId="6" fillId="0" borderId="0" xfId="0" applyFont="1"/>
    <xf numFmtId="2" fontId="7" fillId="0" borderId="39" xfId="0" applyNumberFormat="1" applyFont="1" applyBorder="1" applyAlignment="1">
      <alignment vertical="center" wrapText="1"/>
    </xf>
    <xf numFmtId="2" fontId="6" fillId="0" borderId="5" xfId="1" applyNumberFormat="1" applyFont="1" applyBorder="1" applyAlignment="1">
      <alignment horizontal="right" vertical="center" wrapText="1"/>
    </xf>
    <xf numFmtId="2" fontId="12" fillId="0" borderId="5" xfId="2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2" fontId="10" fillId="0" borderId="5" xfId="12" applyNumberFormat="1" applyFont="1" applyBorder="1" applyAlignment="1">
      <alignment horizontal="right" vertical="center" wrapText="1"/>
    </xf>
    <xf numFmtId="2" fontId="10" fillId="0" borderId="13" xfId="12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13" fillId="0" borderId="5" xfId="12" applyFont="1" applyBorder="1" applyAlignment="1">
      <alignment horizontal="left" vertical="center" wrapText="1"/>
    </xf>
  </cellXfs>
  <cellStyles count="13">
    <cellStyle name="Обычный" xfId="0" builtinId="0"/>
    <cellStyle name="Обычный 2" xfId="1"/>
    <cellStyle name="Обычный 2 2" xfId="3"/>
    <cellStyle name="Обычный 2 2 2" xfId="6"/>
    <cellStyle name="Обычный 2 3" xfId="4"/>
    <cellStyle name="Обычный 2 4" xfId="5"/>
    <cellStyle name="Обычный 2 4 2" xfId="7"/>
    <cellStyle name="Обычный 2 4 3" xfId="12"/>
    <cellStyle name="Обычный 2 5" xfId="8"/>
    <cellStyle name="Обычный 2 6" xfId="9"/>
    <cellStyle name="Обычный 2 6 2" xfId="11"/>
    <cellStyle name="Обычный 2 7" xfId="1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3" sqref="E3:J3"/>
    </sheetView>
  </sheetViews>
  <sheetFormatPr defaultRowHeight="15" x14ac:dyDescent="0.25"/>
  <cols>
    <col min="1" max="1" width="21.140625" style="37" customWidth="1"/>
    <col min="2" max="2" width="24.7109375" style="2" customWidth="1"/>
    <col min="3" max="3" width="12.28515625" style="2" customWidth="1"/>
    <col min="4" max="4" width="46.28515625" style="48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34" t="s">
        <v>0</v>
      </c>
      <c r="B1" s="79" t="s">
        <v>22</v>
      </c>
      <c r="C1" s="80"/>
      <c r="D1" s="1" t="s">
        <v>1</v>
      </c>
      <c r="E1" s="27"/>
      <c r="F1" s="1" t="s">
        <v>2</v>
      </c>
      <c r="G1" s="81">
        <v>44851</v>
      </c>
      <c r="H1" s="82"/>
      <c r="I1" s="82"/>
      <c r="J1" s="83"/>
      <c r="K1" s="1"/>
      <c r="L1" s="1"/>
    </row>
    <row r="2" spans="1:12" ht="15.75" thickBot="1" x14ac:dyDescent="0.3">
      <c r="A2" s="38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2" t="s">
        <v>12</v>
      </c>
    </row>
    <row r="3" spans="1:12" s="33" customFormat="1" ht="15" customHeight="1" x14ac:dyDescent="0.25">
      <c r="A3" s="76" t="s">
        <v>27</v>
      </c>
      <c r="B3" s="45" t="s">
        <v>31</v>
      </c>
      <c r="C3" s="14" t="s">
        <v>50</v>
      </c>
      <c r="D3" s="64" t="s">
        <v>49</v>
      </c>
      <c r="E3" s="50" t="s">
        <v>69</v>
      </c>
      <c r="F3" s="15">
        <v>27.55</v>
      </c>
      <c r="G3" s="16">
        <f>364*0.2+660*0.03+280*0.25</f>
        <v>162.6</v>
      </c>
      <c r="H3" s="51">
        <f>23.2*0.2+0.8*0.03+8*0.25</f>
        <v>6.6639999999999997</v>
      </c>
      <c r="I3" s="51">
        <f>29.5*0.2+72.5*0.03+3*0.25</f>
        <v>8.8249999999999993</v>
      </c>
      <c r="J3" s="52">
        <f>0+1.3*0.03+54*0.25</f>
        <v>13.539</v>
      </c>
    </row>
    <row r="4" spans="1:12" s="44" customFormat="1" ht="30" x14ac:dyDescent="0.25">
      <c r="A4" s="77"/>
      <c r="B4" s="7" t="s">
        <v>13</v>
      </c>
      <c r="C4" s="4" t="s">
        <v>41</v>
      </c>
      <c r="D4" s="4" t="s">
        <v>42</v>
      </c>
      <c r="E4" s="18" t="s">
        <v>43</v>
      </c>
      <c r="F4" s="6">
        <v>24.44</v>
      </c>
      <c r="G4" s="6">
        <f>289-33*0</f>
        <v>289</v>
      </c>
      <c r="H4" s="6">
        <f>8.2-0.04*0</f>
        <v>8.1999999999999993</v>
      </c>
      <c r="I4" s="6">
        <f>10.6-3.63*0</f>
        <v>10.6</v>
      </c>
      <c r="J4" s="8">
        <f>40.1-0.07*0</f>
        <v>40.1</v>
      </c>
    </row>
    <row r="5" spans="1:12" s="44" customFormat="1" x14ac:dyDescent="0.25">
      <c r="A5" s="77"/>
      <c r="B5" s="7" t="s">
        <v>18</v>
      </c>
      <c r="C5" s="4" t="s">
        <v>55</v>
      </c>
      <c r="D5" s="4" t="s">
        <v>56</v>
      </c>
      <c r="E5" s="18" t="s">
        <v>57</v>
      </c>
      <c r="F5" s="6">
        <v>3.71</v>
      </c>
      <c r="G5" s="6">
        <v>62</v>
      </c>
      <c r="H5" s="6">
        <v>0.13</v>
      </c>
      <c r="I5" s="6">
        <v>0.02</v>
      </c>
      <c r="J5" s="8">
        <v>15.2</v>
      </c>
    </row>
    <row r="6" spans="1:12" s="26" customFormat="1" x14ac:dyDescent="0.25">
      <c r="A6" s="77"/>
      <c r="B6" s="7" t="s">
        <v>39</v>
      </c>
      <c r="C6" s="4" t="s">
        <v>40</v>
      </c>
      <c r="D6" s="4" t="s">
        <v>51</v>
      </c>
      <c r="E6" s="18">
        <v>155</v>
      </c>
      <c r="F6" s="6">
        <v>39.89</v>
      </c>
      <c r="G6" s="63">
        <f>47*1.55</f>
        <v>72.850000000000009</v>
      </c>
      <c r="H6" s="62">
        <f>0.4*1.55</f>
        <v>0.62000000000000011</v>
      </c>
      <c r="I6" s="62">
        <f>0.3*1.55</f>
        <v>0.46499999999999997</v>
      </c>
      <c r="J6" s="65">
        <f>10.3*1.55</f>
        <v>15.965000000000002</v>
      </c>
    </row>
    <row r="7" spans="1:12" s="58" customFormat="1" ht="15.75" thickBot="1" x14ac:dyDescent="0.3">
      <c r="A7" s="78"/>
      <c r="B7" s="10" t="s">
        <v>14</v>
      </c>
      <c r="C7" s="11" t="s">
        <v>32</v>
      </c>
      <c r="D7" s="11" t="s">
        <v>33</v>
      </c>
      <c r="E7" s="19">
        <v>36</v>
      </c>
      <c r="F7" s="20">
        <v>1.56</v>
      </c>
      <c r="G7" s="20">
        <f>229.7*0.36</f>
        <v>82.691999999999993</v>
      </c>
      <c r="H7" s="12">
        <f>6.7*0.36</f>
        <v>2.4119999999999999</v>
      </c>
      <c r="I7" s="12">
        <f>1.1*0.36</f>
        <v>0.39600000000000002</v>
      </c>
      <c r="J7" s="13">
        <f>48.3*0.36</f>
        <v>17.387999999999998</v>
      </c>
    </row>
    <row r="8" spans="1:12" ht="16.5" thickBot="1" x14ac:dyDescent="0.3">
      <c r="A8" s="87" t="s">
        <v>15</v>
      </c>
      <c r="B8" s="88"/>
      <c r="C8" s="88"/>
      <c r="D8" s="88"/>
      <c r="E8" s="88"/>
      <c r="F8" s="61">
        <f>SUM(F3:F7)</f>
        <v>97.15</v>
      </c>
      <c r="G8" s="61">
        <f t="shared" ref="G8:J8" si="0">SUM(G3:G7)</f>
        <v>669.14200000000005</v>
      </c>
      <c r="H8" s="61">
        <f t="shared" si="0"/>
        <v>18.026</v>
      </c>
      <c r="I8" s="61">
        <f t="shared" si="0"/>
        <v>20.305999999999997</v>
      </c>
      <c r="J8" s="61">
        <f t="shared" si="0"/>
        <v>102.19200000000001</v>
      </c>
    </row>
    <row r="9" spans="1:12" ht="30" x14ac:dyDescent="0.25">
      <c r="A9" s="89" t="s">
        <v>28</v>
      </c>
      <c r="B9" s="22" t="s">
        <v>16</v>
      </c>
      <c r="C9" s="23" t="s">
        <v>58</v>
      </c>
      <c r="D9" s="23" t="s">
        <v>59</v>
      </c>
      <c r="E9" s="15" t="s">
        <v>52</v>
      </c>
      <c r="F9" s="16">
        <v>12.46</v>
      </c>
      <c r="G9" s="16">
        <f>415*0.25+162*0.1</f>
        <v>119.95</v>
      </c>
      <c r="H9" s="16">
        <f>7.21*0.25+2.6*0.1</f>
        <v>2.0625</v>
      </c>
      <c r="I9" s="16">
        <f>19.68*0.25+15*0.1</f>
        <v>6.42</v>
      </c>
      <c r="J9" s="17">
        <f>43.73*0.25+3.6*0.1</f>
        <v>11.292499999999999</v>
      </c>
      <c r="K9"/>
    </row>
    <row r="10" spans="1:12" ht="31.5" x14ac:dyDescent="0.25">
      <c r="A10" s="90"/>
      <c r="B10" s="7" t="s">
        <v>13</v>
      </c>
      <c r="C10" s="4" t="s">
        <v>67</v>
      </c>
      <c r="D10" s="114" t="s">
        <v>68</v>
      </c>
      <c r="E10" s="18">
        <v>26</v>
      </c>
      <c r="F10" s="6">
        <v>12.75</v>
      </c>
      <c r="G10" s="66">
        <f>197.7/75*26</f>
        <v>68.535999999999987</v>
      </c>
      <c r="H10" s="111">
        <f>8.9/75*26</f>
        <v>3.0853333333333333</v>
      </c>
      <c r="I10" s="111">
        <f>12.4/75*26</f>
        <v>4.2986666666666666</v>
      </c>
      <c r="J10" s="112">
        <f>12.6/75*26</f>
        <v>4.3679999999999994</v>
      </c>
      <c r="K10"/>
    </row>
    <row r="11" spans="1:12" s="26" customFormat="1" x14ac:dyDescent="0.25">
      <c r="A11" s="90"/>
      <c r="B11" s="7" t="s">
        <v>17</v>
      </c>
      <c r="C11" s="55" t="s">
        <v>48</v>
      </c>
      <c r="D11" s="56" t="s">
        <v>47</v>
      </c>
      <c r="E11" s="18">
        <v>150</v>
      </c>
      <c r="F11" s="6">
        <v>13.99</v>
      </c>
      <c r="G11" s="53">
        <f>1398*0.15</f>
        <v>209.7</v>
      </c>
      <c r="H11" s="53">
        <f>24.34*0.15</f>
        <v>3.6509999999999998</v>
      </c>
      <c r="I11" s="53">
        <f>35.83*0.15</f>
        <v>5.3744999999999994</v>
      </c>
      <c r="J11" s="54">
        <f>244.56*0.15</f>
        <v>36.683999999999997</v>
      </c>
    </row>
    <row r="12" spans="1:12" x14ac:dyDescent="0.25">
      <c r="A12" s="90"/>
      <c r="B12" s="7" t="s">
        <v>18</v>
      </c>
      <c r="C12" s="4" t="s">
        <v>19</v>
      </c>
      <c r="D12" s="4" t="s">
        <v>20</v>
      </c>
      <c r="E12" s="18" t="s">
        <v>34</v>
      </c>
      <c r="F12" s="6">
        <v>2.31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90"/>
      <c r="B13" s="10" t="s">
        <v>14</v>
      </c>
      <c r="C13" s="11" t="s">
        <v>32</v>
      </c>
      <c r="D13" s="11" t="s">
        <v>33</v>
      </c>
      <c r="E13" s="19">
        <v>17.5</v>
      </c>
      <c r="F13" s="20">
        <v>0.78</v>
      </c>
      <c r="G13" s="20">
        <f>229.7*0.175</f>
        <v>40.197499999999998</v>
      </c>
      <c r="H13" s="12">
        <f>6.7*0.175</f>
        <v>1.1724999999999999</v>
      </c>
      <c r="I13" s="12">
        <f>1.1*0.175</f>
        <v>0.1925</v>
      </c>
      <c r="J13" s="13">
        <f>48.3*0.175</f>
        <v>8.4524999999999988</v>
      </c>
    </row>
    <row r="14" spans="1:12" ht="16.5" thickBot="1" x14ac:dyDescent="0.3">
      <c r="A14" s="87" t="s">
        <v>15</v>
      </c>
      <c r="B14" s="91"/>
      <c r="C14" s="91"/>
      <c r="D14" s="91"/>
      <c r="E14" s="92"/>
      <c r="F14" s="29">
        <f>SUM(F9:F13)</f>
        <v>42.290000000000006</v>
      </c>
      <c r="G14" s="29">
        <f t="shared" ref="G14:J14" si="1">SUM(G9:G13)</f>
        <v>498.38349999999997</v>
      </c>
      <c r="H14" s="29">
        <f t="shared" si="1"/>
        <v>10.041333333333332</v>
      </c>
      <c r="I14" s="29">
        <f t="shared" si="1"/>
        <v>16.305666666666667</v>
      </c>
      <c r="J14" s="29">
        <f t="shared" si="1"/>
        <v>75.796999999999997</v>
      </c>
    </row>
    <row r="15" spans="1:12" s="28" customFormat="1" x14ac:dyDescent="0.25">
      <c r="A15" s="73" t="s">
        <v>29</v>
      </c>
      <c r="B15" s="22" t="s">
        <v>31</v>
      </c>
      <c r="C15" s="23" t="s">
        <v>46</v>
      </c>
      <c r="D15" s="57" t="s">
        <v>45</v>
      </c>
      <c r="E15" s="15">
        <v>35</v>
      </c>
      <c r="F15" s="16">
        <v>4.97</v>
      </c>
      <c r="G15" s="59">
        <f>11*0.7</f>
        <v>7.6999999999999993</v>
      </c>
      <c r="H15" s="51">
        <f>0.55*0.7</f>
        <v>0.38500000000000001</v>
      </c>
      <c r="I15" s="51">
        <f>0.1*0.7</f>
        <v>6.9999999999999993E-2</v>
      </c>
      <c r="J15" s="52">
        <f>1.9*0.7</f>
        <v>1.3299999999999998</v>
      </c>
    </row>
    <row r="16" spans="1:12" s="48" customFormat="1" ht="30" x14ac:dyDescent="0.25">
      <c r="A16" s="74"/>
      <c r="B16" s="7" t="s">
        <v>16</v>
      </c>
      <c r="C16" s="4" t="s">
        <v>58</v>
      </c>
      <c r="D16" s="4" t="s">
        <v>59</v>
      </c>
      <c r="E16" s="18" t="s">
        <v>52</v>
      </c>
      <c r="F16" s="6">
        <v>12.46</v>
      </c>
      <c r="G16" s="6">
        <f>415*0.25+162*0.1</f>
        <v>119.95</v>
      </c>
      <c r="H16" s="6">
        <f>7.21*0.25+2.6*0.1</f>
        <v>2.0625</v>
      </c>
      <c r="I16" s="6">
        <f>19.68*0.25+15*0.1</f>
        <v>6.42</v>
      </c>
      <c r="J16" s="8">
        <f>43.73*0.25+3.6*0.1</f>
        <v>11.292499999999999</v>
      </c>
    </row>
    <row r="17" spans="1:11" s="26" customFormat="1" ht="31.5" x14ac:dyDescent="0.25">
      <c r="A17" s="74"/>
      <c r="B17" s="7" t="s">
        <v>13</v>
      </c>
      <c r="C17" s="4" t="s">
        <v>67</v>
      </c>
      <c r="D17" s="114" t="s">
        <v>68</v>
      </c>
      <c r="E17" s="18">
        <v>75</v>
      </c>
      <c r="F17" s="6">
        <v>36.799999999999997</v>
      </c>
      <c r="G17" s="66">
        <f>197.7</f>
        <v>197.7</v>
      </c>
      <c r="H17" s="111">
        <f>8.9</f>
        <v>8.9</v>
      </c>
      <c r="I17" s="111">
        <f>12.4</f>
        <v>12.4</v>
      </c>
      <c r="J17" s="112">
        <f>12.6</f>
        <v>12.6</v>
      </c>
      <c r="K17"/>
    </row>
    <row r="18" spans="1:11" s="39" customFormat="1" x14ac:dyDescent="0.25">
      <c r="A18" s="74"/>
      <c r="B18" s="7" t="s">
        <v>17</v>
      </c>
      <c r="C18" s="55" t="s">
        <v>48</v>
      </c>
      <c r="D18" s="56" t="s">
        <v>47</v>
      </c>
      <c r="E18" s="18">
        <v>150</v>
      </c>
      <c r="F18" s="6">
        <v>13.99</v>
      </c>
      <c r="G18" s="53">
        <f>1398*0.15</f>
        <v>209.7</v>
      </c>
      <c r="H18" s="53">
        <f>24.34*0.15</f>
        <v>3.6509999999999998</v>
      </c>
      <c r="I18" s="53">
        <f>35.83*0.15</f>
        <v>5.3744999999999994</v>
      </c>
      <c r="J18" s="54">
        <f>244.56*0.15</f>
        <v>36.683999999999997</v>
      </c>
    </row>
    <row r="19" spans="1:11" x14ac:dyDescent="0.25">
      <c r="A19" s="74"/>
      <c r="B19" s="7" t="s">
        <v>18</v>
      </c>
      <c r="C19" s="4" t="s">
        <v>19</v>
      </c>
      <c r="D19" s="4" t="s">
        <v>20</v>
      </c>
      <c r="E19" s="18" t="s">
        <v>34</v>
      </c>
      <c r="F19" s="6">
        <v>2.31</v>
      </c>
      <c r="G19" s="6">
        <v>60</v>
      </c>
      <c r="H19" s="6">
        <v>7.0000000000000007E-2</v>
      </c>
      <c r="I19" s="6">
        <v>0.02</v>
      </c>
      <c r="J19" s="8">
        <v>15</v>
      </c>
      <c r="K19"/>
    </row>
    <row r="20" spans="1:11" s="33" customFormat="1" x14ac:dyDescent="0.25">
      <c r="A20" s="74"/>
      <c r="B20" s="7" t="s">
        <v>21</v>
      </c>
      <c r="C20" s="4" t="s">
        <v>64</v>
      </c>
      <c r="D20" s="4" t="s">
        <v>65</v>
      </c>
      <c r="E20" s="18">
        <v>50</v>
      </c>
      <c r="F20" s="6">
        <v>4.67</v>
      </c>
      <c r="G20" s="6">
        <v>159</v>
      </c>
      <c r="H20" s="5">
        <v>3.64</v>
      </c>
      <c r="I20" s="5">
        <v>6.26</v>
      </c>
      <c r="J20" s="9">
        <v>21.96</v>
      </c>
    </row>
    <row r="21" spans="1:11" s="68" customFormat="1" x14ac:dyDescent="0.25">
      <c r="A21" s="74"/>
      <c r="B21" s="7" t="s">
        <v>14</v>
      </c>
      <c r="C21" s="4" t="s">
        <v>32</v>
      </c>
      <c r="D21" s="4" t="s">
        <v>33</v>
      </c>
      <c r="E21" s="18">
        <v>45.5</v>
      </c>
      <c r="F21" s="6">
        <v>1.98</v>
      </c>
      <c r="G21" s="6">
        <f>229.7*0.455</f>
        <v>104.51349999999999</v>
      </c>
      <c r="H21" s="5">
        <f>6.7*0.455</f>
        <v>3.0485000000000002</v>
      </c>
      <c r="I21" s="5">
        <f>1.1*0.455</f>
        <v>0.50050000000000006</v>
      </c>
      <c r="J21" s="9">
        <f>48.3*0.455</f>
        <v>21.976499999999998</v>
      </c>
    </row>
    <row r="22" spans="1:11" s="28" customFormat="1" ht="15.75" thickBot="1" x14ac:dyDescent="0.3">
      <c r="A22" s="75"/>
      <c r="B22" s="10" t="s">
        <v>39</v>
      </c>
      <c r="C22" s="11" t="s">
        <v>40</v>
      </c>
      <c r="D22" s="11" t="s">
        <v>44</v>
      </c>
      <c r="E22" s="19">
        <v>150</v>
      </c>
      <c r="F22" s="20">
        <v>19.97</v>
      </c>
      <c r="G22" s="31">
        <f>47*1.5</f>
        <v>70.5</v>
      </c>
      <c r="H22" s="31">
        <f>0.4*1.5</f>
        <v>0.60000000000000009</v>
      </c>
      <c r="I22" s="31">
        <f>0.4*1.5</f>
        <v>0.60000000000000009</v>
      </c>
      <c r="J22" s="32">
        <f>9.8*1.5</f>
        <v>14.700000000000001</v>
      </c>
    </row>
    <row r="23" spans="1:11" ht="16.5" thickBot="1" x14ac:dyDescent="0.3">
      <c r="A23" s="70" t="s">
        <v>15</v>
      </c>
      <c r="B23" s="88"/>
      <c r="C23" s="88"/>
      <c r="D23" s="88"/>
      <c r="E23" s="93"/>
      <c r="F23" s="21">
        <f>SUM(F15:F22)</f>
        <v>97.15</v>
      </c>
      <c r="G23" s="21">
        <f>SUM(G15:G22)</f>
        <v>929.06349999999998</v>
      </c>
      <c r="H23" s="21">
        <f>SUM(H15:H22)</f>
        <v>22.357000000000003</v>
      </c>
      <c r="I23" s="21">
        <f>SUM(I15:I22)</f>
        <v>31.645</v>
      </c>
      <c r="J23" s="21">
        <f>SUM(J15:J22)</f>
        <v>135.54300000000001</v>
      </c>
      <c r="K23"/>
    </row>
    <row r="24" spans="1:11" s="44" customFormat="1" x14ac:dyDescent="0.25">
      <c r="A24" s="94" t="s">
        <v>30</v>
      </c>
      <c r="B24" s="22" t="s">
        <v>18</v>
      </c>
      <c r="C24" s="23" t="s">
        <v>19</v>
      </c>
      <c r="D24" s="23" t="s">
        <v>20</v>
      </c>
      <c r="E24" s="15" t="s">
        <v>34</v>
      </c>
      <c r="F24" s="16">
        <v>2.31</v>
      </c>
      <c r="G24" s="16">
        <v>60</v>
      </c>
      <c r="H24" s="16">
        <v>7.0000000000000007E-2</v>
      </c>
      <c r="I24" s="16">
        <v>0.02</v>
      </c>
      <c r="J24" s="17">
        <v>15</v>
      </c>
      <c r="K24"/>
    </row>
    <row r="25" spans="1:11" s="47" customFormat="1" x14ac:dyDescent="0.25">
      <c r="A25" s="95"/>
      <c r="B25" s="7" t="s">
        <v>53</v>
      </c>
      <c r="C25" s="4" t="s">
        <v>54</v>
      </c>
      <c r="D25" s="4" t="s">
        <v>66</v>
      </c>
      <c r="E25" s="113">
        <v>88</v>
      </c>
      <c r="F25" s="5">
        <v>20.84</v>
      </c>
      <c r="G25" s="109">
        <f>350*0.88</f>
        <v>308</v>
      </c>
      <c r="H25" s="109">
        <f>5*0.88</f>
        <v>4.4000000000000004</v>
      </c>
      <c r="I25" s="109">
        <f>6*0.88</f>
        <v>5.28</v>
      </c>
      <c r="J25" s="110">
        <f>69*0.88</f>
        <v>60.72</v>
      </c>
      <c r="K25"/>
    </row>
    <row r="26" spans="1:11" s="28" customFormat="1" ht="15.75" thickBot="1" x14ac:dyDescent="0.3">
      <c r="A26" s="95"/>
      <c r="B26" s="10" t="s">
        <v>39</v>
      </c>
      <c r="C26" s="11" t="s">
        <v>40</v>
      </c>
      <c r="D26" s="11" t="s">
        <v>44</v>
      </c>
      <c r="E26" s="19">
        <v>145</v>
      </c>
      <c r="F26" s="20">
        <v>19.14</v>
      </c>
      <c r="G26" s="31">
        <f>47*1.45</f>
        <v>68.149999999999991</v>
      </c>
      <c r="H26" s="31">
        <f>0.4*1.45</f>
        <v>0.57999999999999996</v>
      </c>
      <c r="I26" s="31">
        <f>0.4*1.45</f>
        <v>0.57999999999999996</v>
      </c>
      <c r="J26" s="32">
        <f>9.8*1.45</f>
        <v>14.21</v>
      </c>
      <c r="K26"/>
    </row>
    <row r="27" spans="1:11" ht="16.5" thickBot="1" x14ac:dyDescent="0.3">
      <c r="A27" s="70" t="s">
        <v>15</v>
      </c>
      <c r="B27" s="71"/>
      <c r="C27" s="71"/>
      <c r="D27" s="71"/>
      <c r="E27" s="72"/>
      <c r="F27" s="3">
        <f>SUM(F24:F26)</f>
        <v>42.29</v>
      </c>
      <c r="G27" s="3">
        <f>SUM(G24:G26)</f>
        <v>436.15</v>
      </c>
      <c r="H27" s="3">
        <f>SUM(H24:H26)</f>
        <v>5.0500000000000007</v>
      </c>
      <c r="I27" s="3">
        <f>SUM(I24:I26)</f>
        <v>5.88</v>
      </c>
      <c r="J27" s="3">
        <f>SUM(J24:J26)</f>
        <v>89.93</v>
      </c>
      <c r="K27"/>
    </row>
    <row r="29" spans="1:11" ht="15.75" thickBot="1" x14ac:dyDescent="0.3">
      <c r="A29" s="85" t="s">
        <v>25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 ht="15.75" x14ac:dyDescent="0.25">
      <c r="A30" s="35"/>
      <c r="B30" s="25"/>
      <c r="C30" s="84" t="s">
        <v>23</v>
      </c>
      <c r="D30" s="84"/>
      <c r="G30" s="86"/>
      <c r="H30" s="86"/>
      <c r="I30" s="86"/>
      <c r="J30" s="86"/>
    </row>
    <row r="31" spans="1:11" x14ac:dyDescent="0.25">
      <c r="A31" s="34"/>
      <c r="B31" s="1"/>
      <c r="C31" s="1"/>
      <c r="D31" s="1"/>
    </row>
    <row r="32" spans="1:11" x14ac:dyDescent="0.25">
      <c r="A32" s="69" t="s">
        <v>24</v>
      </c>
      <c r="B32" s="69"/>
    </row>
    <row r="33" spans="1:2" x14ac:dyDescent="0.25">
      <c r="A33" s="69" t="s">
        <v>26</v>
      </c>
      <c r="B33" s="69"/>
    </row>
    <row r="34" spans="1:2" x14ac:dyDescent="0.25">
      <c r="A34" s="36"/>
    </row>
  </sheetData>
  <mergeCells count="15">
    <mergeCell ref="B1:C1"/>
    <mergeCell ref="G1:J1"/>
    <mergeCell ref="C30:D30"/>
    <mergeCell ref="A29:J29"/>
    <mergeCell ref="G30:J30"/>
    <mergeCell ref="A8:E8"/>
    <mergeCell ref="A9:A13"/>
    <mergeCell ref="A14:E14"/>
    <mergeCell ref="A23:E23"/>
    <mergeCell ref="A24:A26"/>
    <mergeCell ref="A32:B32"/>
    <mergeCell ref="A33:B33"/>
    <mergeCell ref="A27:E27"/>
    <mergeCell ref="A15:A22"/>
    <mergeCell ref="A3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J3" sqref="E3:J3"/>
    </sheetView>
  </sheetViews>
  <sheetFormatPr defaultRowHeight="15" x14ac:dyDescent="0.25"/>
  <cols>
    <col min="1" max="1" width="25.85546875" style="2" customWidth="1"/>
    <col min="2" max="2" width="17.7109375" style="2" customWidth="1"/>
    <col min="3" max="3" width="12.28515625" style="2" customWidth="1"/>
    <col min="4" max="4" width="49" style="48" customWidth="1"/>
    <col min="5" max="5" width="9.85546875" style="2" customWidth="1"/>
    <col min="6" max="6" width="8.140625" style="2" customWidth="1"/>
    <col min="7" max="7" width="14.140625" style="2" customWidth="1"/>
    <col min="8" max="8" width="8.28515625" style="2" customWidth="1"/>
    <col min="9" max="9" width="8" style="2" customWidth="1"/>
    <col min="10" max="10" width="10" style="2" customWidth="1"/>
    <col min="11" max="16384" width="9.140625" style="2"/>
  </cols>
  <sheetData>
    <row r="1" spans="1:12" ht="15.75" thickBot="1" x14ac:dyDescent="0.3">
      <c r="A1" s="1" t="s">
        <v>0</v>
      </c>
      <c r="B1" s="79" t="s">
        <v>22</v>
      </c>
      <c r="C1" s="80"/>
      <c r="D1" s="1" t="s">
        <v>1</v>
      </c>
      <c r="E1" s="27"/>
      <c r="F1" s="1" t="s">
        <v>2</v>
      </c>
      <c r="G1" s="81">
        <v>44851</v>
      </c>
      <c r="H1" s="82"/>
      <c r="I1" s="82"/>
      <c r="J1" s="83"/>
      <c r="K1" s="1"/>
      <c r="L1" s="1"/>
    </row>
    <row r="2" spans="1:12" ht="15.75" thickBot="1" x14ac:dyDescent="0.3">
      <c r="A2" s="38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2" t="s">
        <v>12</v>
      </c>
    </row>
    <row r="3" spans="1:12" s="46" customFormat="1" x14ac:dyDescent="0.25">
      <c r="A3" s="73" t="s">
        <v>62</v>
      </c>
      <c r="B3" s="45" t="s">
        <v>31</v>
      </c>
      <c r="C3" s="14" t="s">
        <v>50</v>
      </c>
      <c r="D3" s="64" t="s">
        <v>49</v>
      </c>
      <c r="E3" s="50" t="s">
        <v>69</v>
      </c>
      <c r="F3" s="15">
        <v>27.55</v>
      </c>
      <c r="G3" s="16">
        <f>364*0.2+660*0.03+280*0.25</f>
        <v>162.6</v>
      </c>
      <c r="H3" s="51">
        <f>23.2*0.2+0.8*0.03+8*0.25</f>
        <v>6.6639999999999997</v>
      </c>
      <c r="I3" s="51">
        <f>29.5*0.2+72.5*0.03+3*0.25</f>
        <v>8.8249999999999993</v>
      </c>
      <c r="J3" s="52">
        <f>0+1.3*0.03+54*0.25</f>
        <v>13.539</v>
      </c>
    </row>
    <row r="4" spans="1:12" s="60" customFormat="1" x14ac:dyDescent="0.25">
      <c r="A4" s="74"/>
      <c r="B4" s="7" t="s">
        <v>31</v>
      </c>
      <c r="C4" s="4" t="s">
        <v>46</v>
      </c>
      <c r="D4" s="4" t="s">
        <v>63</v>
      </c>
      <c r="E4" s="18">
        <v>30</v>
      </c>
      <c r="F4" s="6">
        <v>3.72</v>
      </c>
      <c r="G4" s="6">
        <f>6*0.6</f>
        <v>3.5999999999999996</v>
      </c>
      <c r="H4" s="6">
        <f>0.35*0.6</f>
        <v>0.21</v>
      </c>
      <c r="I4" s="6">
        <f>0.05*0.6</f>
        <v>0.03</v>
      </c>
      <c r="J4" s="8">
        <f>0.95*0.6</f>
        <v>0.56999999999999995</v>
      </c>
    </row>
    <row r="5" spans="1:12" x14ac:dyDescent="0.25">
      <c r="A5" s="74"/>
      <c r="B5" s="7" t="s">
        <v>13</v>
      </c>
      <c r="C5" s="4" t="s">
        <v>60</v>
      </c>
      <c r="D5" s="4" t="s">
        <v>61</v>
      </c>
      <c r="E5" s="18" t="s">
        <v>70</v>
      </c>
      <c r="F5" s="6">
        <v>42.98</v>
      </c>
      <c r="G5" s="66">
        <f>280.7/40*40</f>
        <v>280.7</v>
      </c>
      <c r="H5" s="66">
        <f>14/40*40</f>
        <v>14</v>
      </c>
      <c r="I5" s="66">
        <f>14.1/40*40</f>
        <v>14.1</v>
      </c>
      <c r="J5" s="67">
        <f>24.5/40*40</f>
        <v>24.5</v>
      </c>
    </row>
    <row r="6" spans="1:12" s="49" customFormat="1" x14ac:dyDescent="0.25">
      <c r="A6" s="74"/>
      <c r="B6" s="7" t="s">
        <v>18</v>
      </c>
      <c r="C6" s="4" t="s">
        <v>19</v>
      </c>
      <c r="D6" s="4" t="s">
        <v>20</v>
      </c>
      <c r="E6" s="18" t="s">
        <v>34</v>
      </c>
      <c r="F6" s="6">
        <v>2.31</v>
      </c>
      <c r="G6" s="6">
        <v>60</v>
      </c>
      <c r="H6" s="6">
        <v>7.0000000000000007E-2</v>
      </c>
      <c r="I6" s="6">
        <v>0.02</v>
      </c>
      <c r="J6" s="8">
        <v>15</v>
      </c>
    </row>
    <row r="7" spans="1:12" s="26" customFormat="1" ht="15.75" thickBot="1" x14ac:dyDescent="0.3">
      <c r="A7" s="74"/>
      <c r="B7" s="10" t="s">
        <v>14</v>
      </c>
      <c r="C7" s="11" t="s">
        <v>32</v>
      </c>
      <c r="D7" s="11" t="s">
        <v>33</v>
      </c>
      <c r="E7" s="19">
        <v>10</v>
      </c>
      <c r="F7" s="20">
        <v>0.44</v>
      </c>
      <c r="G7" s="20">
        <f>229.7*0.1</f>
        <v>22.97</v>
      </c>
      <c r="H7" s="12">
        <f>6.7*0.1</f>
        <v>0.67</v>
      </c>
      <c r="I7" s="12">
        <f>1.1*0.1</f>
        <v>0.11000000000000001</v>
      </c>
      <c r="J7" s="13">
        <f>48.3*0.1</f>
        <v>4.83</v>
      </c>
    </row>
    <row r="8" spans="1:12" ht="16.5" thickBot="1" x14ac:dyDescent="0.3">
      <c r="A8" s="106" t="s">
        <v>15</v>
      </c>
      <c r="B8" s="88"/>
      <c r="C8" s="88"/>
      <c r="D8" s="88"/>
      <c r="E8" s="93"/>
      <c r="F8" s="21">
        <f>SUM(F3:F7)</f>
        <v>77</v>
      </c>
      <c r="G8" s="21">
        <f>SUM(G3:G7)</f>
        <v>529.87</v>
      </c>
      <c r="H8" s="21">
        <f>SUM(H3:H7)</f>
        <v>21.614000000000001</v>
      </c>
      <c r="I8" s="21">
        <f>SUM(I3:I7)</f>
        <v>23.084999999999997</v>
      </c>
      <c r="J8" s="21">
        <f>SUM(J3:J7)</f>
        <v>58.439</v>
      </c>
    </row>
    <row r="9" spans="1:12" s="39" customFormat="1" x14ac:dyDescent="0.25">
      <c r="A9" s="96" t="s">
        <v>35</v>
      </c>
      <c r="B9" s="22" t="s">
        <v>13</v>
      </c>
      <c r="C9" s="23" t="s">
        <v>41</v>
      </c>
      <c r="D9" s="23" t="s">
        <v>42</v>
      </c>
      <c r="E9" s="15" t="s">
        <v>43</v>
      </c>
      <c r="F9" s="16">
        <v>24.44</v>
      </c>
      <c r="G9" s="16">
        <f>289</f>
        <v>289</v>
      </c>
      <c r="H9" s="16">
        <f>8.2</f>
        <v>8.1999999999999993</v>
      </c>
      <c r="I9" s="16">
        <f>10.6</f>
        <v>10.6</v>
      </c>
      <c r="J9" s="17">
        <f>40.1</f>
        <v>40.1</v>
      </c>
    </row>
    <row r="10" spans="1:12" s="30" customFormat="1" x14ac:dyDescent="0.25">
      <c r="A10" s="97"/>
      <c r="B10" s="7" t="s">
        <v>18</v>
      </c>
      <c r="C10" s="4" t="s">
        <v>19</v>
      </c>
      <c r="D10" s="4" t="s">
        <v>20</v>
      </c>
      <c r="E10" s="18" t="s">
        <v>34</v>
      </c>
      <c r="F10" s="6">
        <v>2.31</v>
      </c>
      <c r="G10" s="6">
        <v>60</v>
      </c>
      <c r="H10" s="6">
        <v>7.0000000000000007E-2</v>
      </c>
      <c r="I10" s="6">
        <v>0.02</v>
      </c>
      <c r="J10" s="8">
        <v>15</v>
      </c>
    </row>
    <row r="11" spans="1:12" s="39" customFormat="1" ht="15.75" thickBot="1" x14ac:dyDescent="0.3">
      <c r="A11" s="98"/>
      <c r="B11" s="10" t="s">
        <v>14</v>
      </c>
      <c r="C11" s="11" t="s">
        <v>32</v>
      </c>
      <c r="D11" s="11" t="s">
        <v>33</v>
      </c>
      <c r="E11" s="19">
        <v>6</v>
      </c>
      <c r="F11" s="20">
        <v>0.25</v>
      </c>
      <c r="G11" s="20">
        <f>229.7*0.06</f>
        <v>13.781999999999998</v>
      </c>
      <c r="H11" s="12">
        <f>6.7*0.06</f>
        <v>0.40199999999999997</v>
      </c>
      <c r="I11" s="12">
        <f>1.1*0.06</f>
        <v>6.6000000000000003E-2</v>
      </c>
      <c r="J11" s="13">
        <f>48.3*0.06</f>
        <v>2.8979999999999997</v>
      </c>
    </row>
    <row r="12" spans="1:12" ht="16.5" thickBot="1" x14ac:dyDescent="0.3">
      <c r="A12" s="99" t="s">
        <v>15</v>
      </c>
      <c r="B12" s="88"/>
      <c r="C12" s="88"/>
      <c r="D12" s="88"/>
      <c r="E12" s="93"/>
      <c r="F12" s="21">
        <f>SUM(F9:F11)</f>
        <v>27</v>
      </c>
      <c r="G12" s="21">
        <f>SUM(G9:G11)</f>
        <v>362.78199999999998</v>
      </c>
      <c r="H12" s="21">
        <f>SUM(H9:H11)</f>
        <v>8.6719999999999988</v>
      </c>
      <c r="I12" s="21">
        <f>SUM(I9:I11)</f>
        <v>10.686</v>
      </c>
      <c r="J12" s="21">
        <f>SUM(J9:J11)</f>
        <v>57.998000000000005</v>
      </c>
    </row>
    <row r="13" spans="1:12" s="39" customFormat="1" ht="45.75" customHeight="1" x14ac:dyDescent="0.25">
      <c r="A13" s="100" t="s">
        <v>37</v>
      </c>
      <c r="B13" s="22" t="s">
        <v>31</v>
      </c>
      <c r="C13" s="23" t="s">
        <v>71</v>
      </c>
      <c r="D13" s="23" t="s">
        <v>72</v>
      </c>
      <c r="E13" s="15" t="s">
        <v>73</v>
      </c>
      <c r="F13" s="16">
        <v>4.6900000000000004</v>
      </c>
      <c r="G13" s="16">
        <f>250*0.15+229.7*0.2</f>
        <v>83.44</v>
      </c>
      <c r="H13" s="16">
        <f>0.4*0.15+6.7*0.2</f>
        <v>1.4000000000000001</v>
      </c>
      <c r="I13" s="16">
        <f>0+1.1*0.2</f>
        <v>0.22000000000000003</v>
      </c>
      <c r="J13" s="17">
        <f>65*0.15+48.3*0.2</f>
        <v>19.41</v>
      </c>
    </row>
    <row r="14" spans="1:12" s="39" customFormat="1" ht="15.75" thickBot="1" x14ac:dyDescent="0.3">
      <c r="A14" s="101"/>
      <c r="B14" s="10" t="s">
        <v>18</v>
      </c>
      <c r="C14" s="11" t="s">
        <v>19</v>
      </c>
      <c r="D14" s="11" t="s">
        <v>20</v>
      </c>
      <c r="E14" s="19" t="s">
        <v>34</v>
      </c>
      <c r="F14" s="20">
        <v>2.31</v>
      </c>
      <c r="G14" s="20">
        <v>60</v>
      </c>
      <c r="H14" s="20">
        <v>7.0000000000000007E-2</v>
      </c>
      <c r="I14" s="20">
        <v>0.02</v>
      </c>
      <c r="J14" s="43">
        <v>15</v>
      </c>
      <c r="K14"/>
    </row>
    <row r="15" spans="1:12" ht="16.5" thickBot="1" x14ac:dyDescent="0.3">
      <c r="A15" s="102" t="s">
        <v>15</v>
      </c>
      <c r="B15" s="88"/>
      <c r="C15" s="88"/>
      <c r="D15" s="88"/>
      <c r="E15" s="93"/>
      <c r="F15" s="21">
        <f>SUM(F13:F14)</f>
        <v>7</v>
      </c>
      <c r="G15" s="21">
        <f t="shared" ref="G15:J15" si="0">SUM(G13:G14)</f>
        <v>143.44</v>
      </c>
      <c r="H15" s="21">
        <f t="shared" si="0"/>
        <v>1.4700000000000002</v>
      </c>
      <c r="I15" s="21">
        <f t="shared" si="0"/>
        <v>0.24000000000000002</v>
      </c>
      <c r="J15" s="21">
        <f t="shared" si="0"/>
        <v>34.409999999999997</v>
      </c>
    </row>
    <row r="16" spans="1:12" ht="30" x14ac:dyDescent="0.25">
      <c r="A16" s="107" t="s">
        <v>36</v>
      </c>
      <c r="B16" s="22" t="s">
        <v>16</v>
      </c>
      <c r="C16" s="23" t="s">
        <v>58</v>
      </c>
      <c r="D16" s="23" t="s">
        <v>59</v>
      </c>
      <c r="E16" s="15" t="s">
        <v>52</v>
      </c>
      <c r="F16" s="16">
        <v>12.46</v>
      </c>
      <c r="G16" s="16">
        <f>415*0.25+162*0.1</f>
        <v>119.95</v>
      </c>
      <c r="H16" s="16">
        <f>7.21*0.25+2.6*0.1</f>
        <v>2.0625</v>
      </c>
      <c r="I16" s="16">
        <f>19.68*0.25+15*0.1</f>
        <v>6.42</v>
      </c>
      <c r="J16" s="17">
        <f>43.73*0.25+3.6*0.1</f>
        <v>11.292499999999999</v>
      </c>
    </row>
    <row r="17" spans="1:10" ht="31.5" x14ac:dyDescent="0.25">
      <c r="A17" s="108"/>
      <c r="B17" s="7" t="s">
        <v>13</v>
      </c>
      <c r="C17" s="4" t="s">
        <v>67</v>
      </c>
      <c r="D17" s="114" t="s">
        <v>68</v>
      </c>
      <c r="E17" s="18">
        <v>30</v>
      </c>
      <c r="F17" s="6">
        <v>14.71</v>
      </c>
      <c r="G17" s="66">
        <f>197.7/75*30</f>
        <v>79.079999999999984</v>
      </c>
      <c r="H17" s="111">
        <f>8.9/75*30</f>
        <v>3.56</v>
      </c>
      <c r="I17" s="111">
        <f>12.4/75*30</f>
        <v>4.96</v>
      </c>
      <c r="J17" s="112">
        <f>12.6/75*30</f>
        <v>5.0399999999999991</v>
      </c>
    </row>
    <row r="18" spans="1:10" x14ac:dyDescent="0.25">
      <c r="A18" s="108"/>
      <c r="B18" s="7" t="s">
        <v>17</v>
      </c>
      <c r="C18" s="55" t="s">
        <v>48</v>
      </c>
      <c r="D18" s="56" t="s">
        <v>47</v>
      </c>
      <c r="E18" s="18">
        <v>150</v>
      </c>
      <c r="F18" s="6">
        <v>13.99</v>
      </c>
      <c r="G18" s="53">
        <f>1398*0.15</f>
        <v>209.7</v>
      </c>
      <c r="H18" s="53">
        <f>24.34*0.15</f>
        <v>3.6509999999999998</v>
      </c>
      <c r="I18" s="53">
        <f>35.83*0.15</f>
        <v>5.3744999999999994</v>
      </c>
      <c r="J18" s="54">
        <f>244.56*0.15</f>
        <v>36.683999999999997</v>
      </c>
    </row>
    <row r="19" spans="1:10" x14ac:dyDescent="0.25">
      <c r="A19" s="108"/>
      <c r="B19" s="7" t="s">
        <v>18</v>
      </c>
      <c r="C19" s="4" t="s">
        <v>19</v>
      </c>
      <c r="D19" s="4" t="s">
        <v>20</v>
      </c>
      <c r="E19" s="18" t="s">
        <v>34</v>
      </c>
      <c r="F19" s="6">
        <v>2.31</v>
      </c>
      <c r="G19" s="6">
        <v>60</v>
      </c>
      <c r="H19" s="6">
        <v>7.0000000000000007E-2</v>
      </c>
      <c r="I19" s="6">
        <v>0.02</v>
      </c>
      <c r="J19" s="8">
        <v>15</v>
      </c>
    </row>
    <row r="20" spans="1:10" ht="15.75" thickBot="1" x14ac:dyDescent="0.3">
      <c r="A20" s="108"/>
      <c r="B20" s="10" t="s">
        <v>14</v>
      </c>
      <c r="C20" s="11" t="s">
        <v>32</v>
      </c>
      <c r="D20" s="11" t="s">
        <v>33</v>
      </c>
      <c r="E20" s="19">
        <v>35</v>
      </c>
      <c r="F20" s="20">
        <v>1.53</v>
      </c>
      <c r="G20" s="20">
        <f>229.7*0.35</f>
        <v>80.394999999999996</v>
      </c>
      <c r="H20" s="12">
        <f>6.7*0.35</f>
        <v>2.3449999999999998</v>
      </c>
      <c r="I20" s="12">
        <f>1.1*0.35</f>
        <v>0.38500000000000001</v>
      </c>
      <c r="J20" s="13">
        <f>48.3*0.35</f>
        <v>16.904999999999998</v>
      </c>
    </row>
    <row r="21" spans="1:10" ht="16.5" thickBot="1" x14ac:dyDescent="0.3">
      <c r="A21" s="87" t="s">
        <v>15</v>
      </c>
      <c r="B21" s="104"/>
      <c r="C21" s="104"/>
      <c r="D21" s="104"/>
      <c r="E21" s="105"/>
      <c r="F21" s="24">
        <f>SUM(F16:F20)</f>
        <v>45.000000000000007</v>
      </c>
      <c r="G21" s="24">
        <f t="shared" ref="G21:J21" si="1">SUM(G16:G20)</f>
        <v>549.125</v>
      </c>
      <c r="H21" s="24">
        <f t="shared" si="1"/>
        <v>11.688500000000001</v>
      </c>
      <c r="I21" s="24">
        <f t="shared" si="1"/>
        <v>17.159500000000001</v>
      </c>
      <c r="J21" s="24">
        <f t="shared" si="1"/>
        <v>84.921499999999995</v>
      </c>
    </row>
    <row r="22" spans="1:10" s="44" customFormat="1" x14ac:dyDescent="0.25">
      <c r="A22" s="103" t="s">
        <v>38</v>
      </c>
      <c r="B22" s="22" t="s">
        <v>31</v>
      </c>
      <c r="C22" s="23" t="s">
        <v>46</v>
      </c>
      <c r="D22" s="57" t="s">
        <v>45</v>
      </c>
      <c r="E22" s="15">
        <v>35</v>
      </c>
      <c r="F22" s="16">
        <v>4.97</v>
      </c>
      <c r="G22" s="59">
        <f>11*0.7</f>
        <v>7.6999999999999993</v>
      </c>
      <c r="H22" s="51">
        <f>0.55*0.7</f>
        <v>0.38500000000000001</v>
      </c>
      <c r="I22" s="51">
        <f>0.1*0.7</f>
        <v>6.9999999999999993E-2</v>
      </c>
      <c r="J22" s="52">
        <f>1.9*0.7</f>
        <v>1.3299999999999998</v>
      </c>
    </row>
    <row r="23" spans="1:10" s="48" customFormat="1" ht="30" x14ac:dyDescent="0.25">
      <c r="A23" s="103"/>
      <c r="B23" s="7" t="s">
        <v>16</v>
      </c>
      <c r="C23" s="4" t="s">
        <v>58</v>
      </c>
      <c r="D23" s="4" t="s">
        <v>59</v>
      </c>
      <c r="E23" s="18" t="s">
        <v>52</v>
      </c>
      <c r="F23" s="6">
        <v>12.46</v>
      </c>
      <c r="G23" s="6">
        <f>415*0.25+162*0.1</f>
        <v>119.95</v>
      </c>
      <c r="H23" s="6">
        <f>7.21*0.25+2.6*0.1</f>
        <v>2.0625</v>
      </c>
      <c r="I23" s="6">
        <f>19.68*0.25+15*0.1</f>
        <v>6.42</v>
      </c>
      <c r="J23" s="8">
        <f>43.73*0.25+3.6*0.1</f>
        <v>11.292499999999999</v>
      </c>
    </row>
    <row r="24" spans="1:10" s="46" customFormat="1" ht="31.5" x14ac:dyDescent="0.25">
      <c r="A24" s="103"/>
      <c r="B24" s="7" t="s">
        <v>13</v>
      </c>
      <c r="C24" s="4" t="s">
        <v>67</v>
      </c>
      <c r="D24" s="114" t="s">
        <v>68</v>
      </c>
      <c r="E24" s="18">
        <v>75</v>
      </c>
      <c r="F24" s="6">
        <v>36.799999999999997</v>
      </c>
      <c r="G24" s="66">
        <f>197.7</f>
        <v>197.7</v>
      </c>
      <c r="H24" s="111">
        <f>8.9</f>
        <v>8.9</v>
      </c>
      <c r="I24" s="111">
        <f>12.4</f>
        <v>12.4</v>
      </c>
      <c r="J24" s="112">
        <f>12.6</f>
        <v>12.6</v>
      </c>
    </row>
    <row r="25" spans="1:10" x14ac:dyDescent="0.25">
      <c r="A25" s="103"/>
      <c r="B25" s="7" t="s">
        <v>17</v>
      </c>
      <c r="C25" s="55" t="s">
        <v>48</v>
      </c>
      <c r="D25" s="56" t="s">
        <v>47</v>
      </c>
      <c r="E25" s="18">
        <v>150</v>
      </c>
      <c r="F25" s="6">
        <v>13.99</v>
      </c>
      <c r="G25" s="53">
        <f>1398*0.15</f>
        <v>209.7</v>
      </c>
      <c r="H25" s="53">
        <f>24.34*0.15</f>
        <v>3.6509999999999998</v>
      </c>
      <c r="I25" s="53">
        <f>35.83*0.15</f>
        <v>5.3744999999999994</v>
      </c>
      <c r="J25" s="54">
        <f>244.56*0.15</f>
        <v>36.683999999999997</v>
      </c>
    </row>
    <row r="26" spans="1:10" x14ac:dyDescent="0.25">
      <c r="A26" s="103"/>
      <c r="B26" s="7" t="s">
        <v>18</v>
      </c>
      <c r="C26" s="4" t="s">
        <v>19</v>
      </c>
      <c r="D26" s="4" t="s">
        <v>20</v>
      </c>
      <c r="E26" s="18" t="s">
        <v>34</v>
      </c>
      <c r="F26" s="6">
        <v>2.31</v>
      </c>
      <c r="G26" s="6">
        <v>60</v>
      </c>
      <c r="H26" s="6">
        <v>7.0000000000000007E-2</v>
      </c>
      <c r="I26" s="6">
        <v>0.02</v>
      </c>
      <c r="J26" s="8">
        <v>15</v>
      </c>
    </row>
    <row r="27" spans="1:10" s="48" customFormat="1" x14ac:dyDescent="0.25">
      <c r="A27" s="103"/>
      <c r="B27" s="7" t="s">
        <v>21</v>
      </c>
      <c r="C27" s="4" t="s">
        <v>64</v>
      </c>
      <c r="D27" s="4" t="s">
        <v>65</v>
      </c>
      <c r="E27" s="18">
        <v>50</v>
      </c>
      <c r="F27" s="6">
        <v>4.67</v>
      </c>
      <c r="G27" s="6">
        <v>159</v>
      </c>
      <c r="H27" s="5">
        <v>3.64</v>
      </c>
      <c r="I27" s="5">
        <v>6.26</v>
      </c>
      <c r="J27" s="9">
        <v>21.96</v>
      </c>
    </row>
    <row r="28" spans="1:10" ht="15.75" thickBot="1" x14ac:dyDescent="0.3">
      <c r="A28" s="103"/>
      <c r="B28" s="7" t="s">
        <v>14</v>
      </c>
      <c r="C28" s="4" t="s">
        <v>32</v>
      </c>
      <c r="D28" s="4" t="s">
        <v>33</v>
      </c>
      <c r="E28" s="18">
        <v>41.5</v>
      </c>
      <c r="F28" s="6">
        <v>1.8</v>
      </c>
      <c r="G28" s="6">
        <f>229.7*0.415</f>
        <v>95.325499999999991</v>
      </c>
      <c r="H28" s="5">
        <f>6.7*0.415</f>
        <v>2.7805</v>
      </c>
      <c r="I28" s="5">
        <f>1.1*0.415</f>
        <v>0.45650000000000002</v>
      </c>
      <c r="J28" s="9">
        <f>48.3*0.415</f>
        <v>20.044499999999999</v>
      </c>
    </row>
    <row r="29" spans="1:10" ht="16.5" thickBot="1" x14ac:dyDescent="0.3">
      <c r="A29" s="87" t="s">
        <v>15</v>
      </c>
      <c r="B29" s="104"/>
      <c r="C29" s="104"/>
      <c r="D29" s="104"/>
      <c r="E29" s="105"/>
      <c r="F29" s="24">
        <f>SUM(F22:F28)</f>
        <v>77</v>
      </c>
      <c r="G29" s="24">
        <f>SUM(G22:G28)</f>
        <v>849.37549999999999</v>
      </c>
      <c r="H29" s="24">
        <f>SUM(H22:H28)</f>
        <v>21.489000000000001</v>
      </c>
      <c r="I29" s="24">
        <f>SUM(I22:I28)</f>
        <v>31.000999999999998</v>
      </c>
      <c r="J29" s="24">
        <f>SUM(J22:J28)</f>
        <v>118.911</v>
      </c>
    </row>
    <row r="31" spans="1:10" ht="15.75" thickBot="1" x14ac:dyDescent="0.3">
      <c r="A31" s="85" t="s">
        <v>25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5.75" x14ac:dyDescent="0.25">
      <c r="A32" s="25"/>
      <c r="B32" s="25"/>
      <c r="C32" s="84" t="s">
        <v>23</v>
      </c>
      <c r="D32" s="84"/>
      <c r="G32" s="86"/>
      <c r="H32" s="86"/>
      <c r="I32" s="86"/>
      <c r="J32" s="86"/>
    </row>
    <row r="33" spans="1:4" x14ac:dyDescent="0.25">
      <c r="A33" s="1"/>
      <c r="B33" s="1"/>
      <c r="C33" s="1"/>
      <c r="D33" s="1"/>
    </row>
    <row r="34" spans="1:4" x14ac:dyDescent="0.25">
      <c r="A34" s="69" t="s">
        <v>24</v>
      </c>
      <c r="B34" s="69"/>
    </row>
    <row r="35" spans="1:4" x14ac:dyDescent="0.25">
      <c r="A35" s="69" t="s">
        <v>26</v>
      </c>
      <c r="B35" s="69"/>
    </row>
  </sheetData>
  <mergeCells count="17">
    <mergeCell ref="B1:C1"/>
    <mergeCell ref="G1:J1"/>
    <mergeCell ref="A8:E8"/>
    <mergeCell ref="A16:A20"/>
    <mergeCell ref="A3:A7"/>
    <mergeCell ref="A34:B34"/>
    <mergeCell ref="A35:B35"/>
    <mergeCell ref="A9:A11"/>
    <mergeCell ref="A12:E12"/>
    <mergeCell ref="A13:A14"/>
    <mergeCell ref="A15:E15"/>
    <mergeCell ref="A22:A28"/>
    <mergeCell ref="A29:E29"/>
    <mergeCell ref="A31:J31"/>
    <mergeCell ref="C32:D32"/>
    <mergeCell ref="G32:J32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2022-10-14T12:18:51Z</dcterms:modified>
</cp:coreProperties>
</file>