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  <c r="H30" i="2"/>
  <c r="G30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7" i="2"/>
  <c r="H7" i="2"/>
  <c r="G7" i="2"/>
  <c r="J5" i="2"/>
  <c r="I5" i="2"/>
  <c r="H5" i="2"/>
  <c r="G5" i="2"/>
  <c r="J8" i="2"/>
  <c r="I8" i="2"/>
  <c r="H8" i="2"/>
  <c r="G8" i="2"/>
  <c r="J4" i="2"/>
  <c r="I4" i="2"/>
  <c r="H4" i="2"/>
  <c r="G4" i="2"/>
  <c r="J22" i="2"/>
  <c r="I22" i="2"/>
  <c r="H22" i="2"/>
  <c r="G22" i="2"/>
  <c r="J20" i="2"/>
  <c r="I20" i="2"/>
  <c r="H20" i="2"/>
  <c r="G20" i="2"/>
  <c r="J19" i="2"/>
  <c r="I19" i="2"/>
  <c r="H19" i="2"/>
  <c r="G19" i="2"/>
  <c r="J18" i="2"/>
  <c r="I18" i="2"/>
  <c r="H18" i="2"/>
  <c r="G18" i="2"/>
  <c r="J16" i="2"/>
  <c r="I16" i="2"/>
  <c r="H16" i="2"/>
  <c r="G16" i="2"/>
  <c r="J10" i="2"/>
  <c r="I10" i="2"/>
  <c r="H10" i="2"/>
  <c r="G10" i="2"/>
  <c r="J13" i="2" l="1"/>
  <c r="I13" i="2"/>
  <c r="H13" i="2"/>
  <c r="G13" i="2"/>
  <c r="G9" i="2"/>
  <c r="H9" i="2"/>
  <c r="I9" i="2"/>
  <c r="J9" i="2"/>
  <c r="F9" i="2"/>
  <c r="J3" i="2"/>
  <c r="I3" i="2"/>
  <c r="H3" i="2"/>
  <c r="G3" i="2"/>
  <c r="J22" i="1"/>
  <c r="I22" i="1"/>
  <c r="H22" i="1"/>
  <c r="G22" i="1"/>
  <c r="J20" i="1"/>
  <c r="I20" i="1"/>
  <c r="G20" i="1"/>
  <c r="J24" i="1"/>
  <c r="H20" i="1"/>
  <c r="H24" i="1" s="1"/>
  <c r="J23" i="1"/>
  <c r="I23" i="1"/>
  <c r="H23" i="1"/>
  <c r="G23" i="1"/>
  <c r="G24" i="1"/>
  <c r="I24" i="1"/>
  <c r="F24" i="1"/>
  <c r="H26" i="1" l="1"/>
  <c r="J26" i="1"/>
  <c r="I26" i="1"/>
  <c r="G26" i="1"/>
  <c r="J19" i="1" l="1"/>
  <c r="I19" i="1"/>
  <c r="H19" i="1"/>
  <c r="G19" i="1"/>
  <c r="J17" i="1"/>
  <c r="I17" i="1"/>
  <c r="H17" i="1"/>
  <c r="G17" i="1"/>
  <c r="J16" i="1"/>
  <c r="I16" i="1"/>
  <c r="H16" i="1"/>
  <c r="G16" i="1"/>
  <c r="J14" i="1"/>
  <c r="I14" i="1"/>
  <c r="H14" i="1"/>
  <c r="G14" i="1"/>
  <c r="J12" i="1"/>
  <c r="I12" i="1"/>
  <c r="H12" i="1"/>
  <c r="G12" i="1"/>
  <c r="J11" i="1"/>
  <c r="I11" i="1"/>
  <c r="H11" i="1"/>
  <c r="G11" i="1"/>
  <c r="J8" i="1"/>
  <c r="I8" i="1"/>
  <c r="H8" i="1"/>
  <c r="G8" i="1"/>
  <c r="J7" i="1"/>
  <c r="I7" i="1"/>
  <c r="H7" i="1"/>
  <c r="G7" i="1"/>
  <c r="J4" i="1"/>
  <c r="I4" i="1"/>
  <c r="H4" i="1"/>
  <c r="G4" i="1"/>
  <c r="J3" i="1"/>
  <c r="I3" i="1"/>
  <c r="H3" i="1"/>
  <c r="G3" i="1"/>
  <c r="J10" i="1"/>
  <c r="I10" i="1"/>
  <c r="H10" i="1"/>
  <c r="G10" i="1"/>
  <c r="J18" i="1" l="1"/>
  <c r="I18" i="1"/>
  <c r="H18" i="1"/>
  <c r="G18" i="1"/>
  <c r="J11" i="2" l="1"/>
  <c r="I11" i="2"/>
  <c r="H11" i="2"/>
  <c r="G11" i="2"/>
  <c r="J5" i="1" l="1"/>
  <c r="I5" i="1"/>
  <c r="H5" i="1"/>
  <c r="G5" i="1"/>
  <c r="F23" i="2" l="1"/>
  <c r="J23" i="2"/>
  <c r="I23" i="2"/>
  <c r="H23" i="2"/>
  <c r="G23" i="2"/>
  <c r="F15" i="1" l="1"/>
  <c r="F31" i="2" l="1"/>
  <c r="F9" i="1" l="1"/>
  <c r="J9" i="1"/>
  <c r="I9" i="1"/>
  <c r="H9" i="1"/>
  <c r="G9" i="1"/>
  <c r="J15" i="1" l="1"/>
  <c r="I15" i="1"/>
  <c r="H15" i="1"/>
  <c r="G15" i="1"/>
  <c r="F27" i="1"/>
  <c r="J27" i="1"/>
  <c r="I27" i="1"/>
  <c r="H27" i="1"/>
  <c r="G27" i="1"/>
  <c r="G17" i="2" l="1"/>
  <c r="J31" i="2" l="1"/>
  <c r="H31" i="2"/>
  <c r="G31" i="2"/>
  <c r="I31" i="2"/>
  <c r="F17" i="2" l="1"/>
  <c r="H17" i="2"/>
  <c r="F14" i="2"/>
  <c r="G14" i="2" l="1"/>
  <c r="I14" i="2"/>
  <c r="J17" i="2"/>
  <c r="H14" i="2"/>
  <c r="J14" i="2"/>
  <c r="I17" i="2"/>
</calcChain>
</file>

<file path=xl/sharedStrings.xml><?xml version="1.0" encoding="utf-8"?>
<sst xmlns="http://schemas.openxmlformats.org/spreadsheetml/2006/main" count="202" uniqueCount="83">
  <si>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</si>
  <si>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</si>
  <si>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</si>
  <si>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</si>
  <si>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</si>
  <si>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</si>
  <si>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</si>
  <si>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</si>
  <si>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</si>
  <si>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</si>
  <si>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</si>
  <si>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</si>
  <si>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</si>
  <si>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</si>
  <si>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</si>
  <si>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</si>
  <si>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</si>
  <si>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</si>
  <si>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</si>
  <si>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</si>
  <si>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</si>
  <si>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</si>
  <si>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</si>
  <si>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</si>
  <si>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</si>
  <si>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</si>
  <si>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</si>
  <si>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</si>
  <si>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</si>
  <si>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</si>
  <si>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</si>
  <si>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</si>
  <si>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</si>
  <si>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</si>
  <si>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</si>
  <si>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</si>
  <si>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</si>
  <si>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</si>
  <si>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№309-2015г.</t>
  </si>
  <si>
    <t>Кондитерское изделие</t>
  </si>
  <si>
    <t>ПР</t>
  </si>
  <si>
    <t>№71-2015г.</t>
  </si>
  <si>
    <t>Пюре картофельное</t>
  </si>
  <si>
    <t>№312-2015г.</t>
  </si>
  <si>
    <t>250/10/2</t>
  </si>
  <si>
    <t>Макароны отварные</t>
  </si>
  <si>
    <t>Овощи натуральные свежие (помидоры)</t>
  </si>
  <si>
    <t>Напиток</t>
  </si>
  <si>
    <t>№52-2015г.</t>
  </si>
  <si>
    <t>ТТК №48</t>
  </si>
  <si>
    <t>40/40</t>
  </si>
  <si>
    <t>№389-2015г.</t>
  </si>
  <si>
    <t>Сок фруктовый</t>
  </si>
  <si>
    <t>Напиток (сладкое блюдо)</t>
  </si>
  <si>
    <t>№342-2015г.</t>
  </si>
  <si>
    <t>Компот из свежих груш</t>
  </si>
  <si>
    <t>Завтрак 5-11 кл с доплатой 70,00 руб. и льготники с доплатой 50,00 руб. 1 смена</t>
  </si>
  <si>
    <t>Обед 6-7 кл. с доплатой 70,00 руб. и льготники с доплатой 50,00 руб. 2-я смена</t>
  </si>
  <si>
    <t>Печенье "Курабье"</t>
  </si>
  <si>
    <t>№306-2015г.</t>
  </si>
  <si>
    <t>Молочный коктейль "Авишка" 2,5 %</t>
  </si>
  <si>
    <t>ТТК №22</t>
  </si>
  <si>
    <t>Биточки рыбные "по-домашнему"</t>
  </si>
  <si>
    <t>Пряник сливочный</t>
  </si>
  <si>
    <t>Фрукт</t>
  </si>
  <si>
    <t>№338-2015г.</t>
  </si>
  <si>
    <t>№102-2015г.</t>
  </si>
  <si>
    <t>Суп картофельный с горохом с зеленью</t>
  </si>
  <si>
    <t>250/2</t>
  </si>
  <si>
    <t>Салат из свеклы отварной, яйцо варёное</t>
  </si>
  <si>
    <t>60/1 шт</t>
  </si>
  <si>
    <t>№52,209-2015г.</t>
  </si>
  <si>
    <t>Филе цыплёнка тушёное</t>
  </si>
  <si>
    <t>23/23</t>
  </si>
  <si>
    <t>Суп картофельный с горохом с тушёнкой и зеленью</t>
  </si>
  <si>
    <t>Печенье сахарное</t>
  </si>
  <si>
    <t>Апельсин свежий (порция)</t>
  </si>
  <si>
    <t>ТТК №3</t>
  </si>
  <si>
    <t>Булочка "Фигурная"</t>
  </si>
  <si>
    <t>Салат из свеклы отварной</t>
  </si>
  <si>
    <t>Зефир фруктовый</t>
  </si>
  <si>
    <t>Бобовые отварные (горошек зелёный консервированный)</t>
  </si>
  <si>
    <t>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</si>
</sst>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2" fontId="6" fillId="0" borderId="2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2" fontId="5" fillId="0" borderId="16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  <xf numFmtId="2" fontId="6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2" fontId="6" fillId="0" borderId="22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2" fontId="9" fillId="0" borderId="5" xfId="0" applyNumberFormat="1" applyFont="1" applyBorder="1" applyAlignment="1">
      <alignment horizontal="right" vertical="center" wrapText="1"/>
    </xf>
    <xf numFmtId="2" fontId="9" fillId="0" borderId="13" xfId="0" applyNumberFormat="1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2" fontId="5" fillId="0" borderId="16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3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3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/>
    <xf numFmtId="4" fontId="5" fillId="0" borderId="5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5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2" fontId="9" fillId="0" borderId="5" xfId="1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0" applyFont="1"/>
    <xf numFmtId="0" fontId="11" fillId="0" borderId="5" xfId="1" applyFont="1" applyBorder="1" applyAlignment="1">
      <alignment vertical="center" wrapText="1"/>
    </xf>
    <xf numFmtId="2" fontId="9" fillId="0" borderId="13" xfId="1" applyNumberFormat="1" applyFont="1" applyBorder="1" applyAlignment="1">
      <alignment horizontal="right" vertical="center" wrapText="1"/>
    </xf>
    <xf numFmtId="0" fontId="5" fillId="0" borderId="0" xfId="0" applyFont="1"/>
    <xf numFmtId="2" fontId="5" fillId="0" borderId="5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2" fontId="6" fillId="0" borderId="33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43" xfId="0" applyFont="1" applyBorder="1" applyAlignment="1">
      <alignment horizontal="right" vertical="center" wrapText="1"/>
    </xf>
    <xf numFmtId="2" fontId="5" fillId="0" borderId="43" xfId="0" applyNumberFormat="1" applyFont="1" applyBorder="1" applyAlignment="1">
      <alignment horizontal="right" vertical="center" wrapText="1"/>
    </xf>
    <xf numFmtId="2" fontId="5" fillId="0" borderId="44" xfId="0" applyNumberFormat="1" applyFont="1" applyBorder="1" applyAlignment="1">
      <alignment horizontal="right" vertical="center" wrapText="1"/>
    </xf>
    <xf numFmtId="0" fontId="5" fillId="0" borderId="0" xfId="0" applyFont="1"/>
    <xf numFmtId="0" fontId="13" fillId="0" borderId="5" xfId="6" applyNumberFormat="1" applyFont="1" applyBorder="1" applyAlignment="1">
      <alignment horizontal="left" vertical="center" wrapText="1"/>
    </xf>
    <xf numFmtId="0" fontId="5" fillId="0" borderId="5" xfId="7" applyFont="1" applyBorder="1" applyAlignment="1">
      <alignment vertical="center" wrapText="1"/>
    </xf>
    <xf numFmtId="4" fontId="13" fillId="0" borderId="5" xfId="6" applyNumberFormat="1" applyFont="1" applyBorder="1" applyAlignment="1">
      <alignment horizontal="right" vertical="center"/>
    </xf>
    <xf numFmtId="4" fontId="5" fillId="0" borderId="5" xfId="7" applyNumberFormat="1" applyFont="1" applyBorder="1" applyAlignment="1">
      <alignment horizontal="right" vertical="center" wrapText="1"/>
    </xf>
    <xf numFmtId="4" fontId="5" fillId="0" borderId="13" xfId="7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/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14" fontId="8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9" fillId="0" borderId="10" xfId="1" applyFont="1" applyBorder="1" applyAlignment="1">
      <alignment vertical="center" wrapText="1"/>
    </xf>
    <xf numFmtId="2" fontId="9" fillId="0" borderId="10" xfId="1" applyNumberFormat="1" applyFont="1" applyBorder="1" applyAlignment="1">
      <alignment horizontal="right" vertical="center" wrapText="1"/>
    </xf>
    <xf numFmtId="2" fontId="9" fillId="0" borderId="11" xfId="1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40" xfId="0" applyFont="1" applyBorder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8"/>
    <cellStyle name="Обычный 2 5" xfId="5"/>
    <cellStyle name="Обычный 2 6" xfId="7"/>
    <cellStyle name="Обычный 2 7" xfId="9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B16" sqref="B16:J22"/>
    </sheetView>
  </sheetViews>
  <sheetFormatPr defaultRowHeight="15" x14ac:dyDescent="0.25"/>
  <cols>
    <col min="1" max="1" width="20.140625" style="126" customWidth="1"/>
    <col min="2" max="2" width="24.7109375" style="2" customWidth="1"/>
    <col min="3" max="3" width="14.8554687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19" t="s">
        <v>0</v>
      </c>
      <c r="B1" s="89" t="s">
        <v>22</v>
      </c>
      <c r="C1" s="90"/>
      <c r="D1" s="1" t="s">
        <v>1</v>
      </c>
      <c r="E1" s="26"/>
      <c r="F1" s="1" t="s">
        <v>2</v>
      </c>
      <c r="G1" s="91">
        <v>44854</v>
      </c>
      <c r="H1" s="92"/>
      <c r="I1" s="92"/>
      <c r="J1" s="93"/>
      <c r="K1" s="1"/>
      <c r="L1" s="1"/>
    </row>
    <row r="2" spans="1:12" ht="15.75" thickBot="1" x14ac:dyDescent="0.3">
      <c r="A2" s="31" t="s">
        <v>3</v>
      </c>
      <c r="B2" s="4" t="s">
        <v>4</v>
      </c>
      <c r="C2" s="32" t="s">
        <v>5</v>
      </c>
      <c r="D2" s="36" t="s">
        <v>6</v>
      </c>
      <c r="E2" s="36" t="s">
        <v>7</v>
      </c>
      <c r="F2" s="36" t="s">
        <v>8</v>
      </c>
      <c r="G2" s="4" t="s">
        <v>9</v>
      </c>
      <c r="H2" s="4" t="s">
        <v>10</v>
      </c>
      <c r="I2" s="4" t="s">
        <v>11</v>
      </c>
      <c r="J2" s="33" t="s">
        <v>12</v>
      </c>
    </row>
    <row r="3" spans="1:12" ht="15" customHeight="1" x14ac:dyDescent="0.25">
      <c r="A3" s="120" t="s">
        <v>27</v>
      </c>
      <c r="B3" s="56" t="s">
        <v>31</v>
      </c>
      <c r="C3" s="47" t="s">
        <v>71</v>
      </c>
      <c r="D3" s="47" t="s">
        <v>69</v>
      </c>
      <c r="E3" s="13" t="s">
        <v>70</v>
      </c>
      <c r="F3" s="13">
        <v>16.62</v>
      </c>
      <c r="G3" s="14">
        <f>928*0.06+63*1</f>
        <v>118.68</v>
      </c>
      <c r="H3" s="14">
        <f>14.08*0.06+5.08</f>
        <v>5.9248000000000003</v>
      </c>
      <c r="I3" s="14">
        <f>60.12*0.06+4.6</f>
        <v>8.2072000000000003</v>
      </c>
      <c r="J3" s="15">
        <f>82.6*0.06+0.28</f>
        <v>5.2359999999999998</v>
      </c>
    </row>
    <row r="4" spans="1:12" s="42" customFormat="1" ht="15" customHeight="1" x14ac:dyDescent="0.25">
      <c r="A4" s="120"/>
      <c r="B4" s="7" t="s">
        <v>13</v>
      </c>
      <c r="C4" s="72" t="s">
        <v>61</v>
      </c>
      <c r="D4" s="73" t="s">
        <v>62</v>
      </c>
      <c r="E4" s="16">
        <v>75</v>
      </c>
      <c r="F4" s="6">
        <v>36.08</v>
      </c>
      <c r="G4" s="74">
        <f>132.2/75*75</f>
        <v>132.19999999999999</v>
      </c>
      <c r="H4" s="75">
        <f>9.5/75*75</f>
        <v>9.5</v>
      </c>
      <c r="I4" s="75">
        <f>5.6/75*75</f>
        <v>5.6</v>
      </c>
      <c r="J4" s="76">
        <f>10.9/75*75</f>
        <v>10.9</v>
      </c>
    </row>
    <row r="5" spans="1:12" s="51" customFormat="1" ht="15.75" x14ac:dyDescent="0.25">
      <c r="A5" s="120"/>
      <c r="B5" s="7" t="s">
        <v>17</v>
      </c>
      <c r="C5" s="50" t="s">
        <v>43</v>
      </c>
      <c r="D5" s="52" t="s">
        <v>42</v>
      </c>
      <c r="E5" s="16">
        <v>150</v>
      </c>
      <c r="F5" s="6">
        <v>14.78</v>
      </c>
      <c r="G5" s="49">
        <f>915*0.15</f>
        <v>137.25</v>
      </c>
      <c r="H5" s="49">
        <f>20.43*0.15</f>
        <v>3.0644999999999998</v>
      </c>
      <c r="I5" s="49">
        <f>32.01*0.15</f>
        <v>4.8014999999999999</v>
      </c>
      <c r="J5" s="53">
        <f>136.26*0.15</f>
        <v>20.438999999999997</v>
      </c>
      <c r="K5"/>
    </row>
    <row r="6" spans="1:12" s="28" customFormat="1" x14ac:dyDescent="0.25">
      <c r="A6" s="120"/>
      <c r="B6" s="7" t="s">
        <v>47</v>
      </c>
      <c r="C6" s="5" t="s">
        <v>51</v>
      </c>
      <c r="D6" s="5" t="s">
        <v>52</v>
      </c>
      <c r="E6" s="16">
        <v>200</v>
      </c>
      <c r="F6" s="6">
        <v>21.71</v>
      </c>
      <c r="G6" s="6">
        <v>104</v>
      </c>
      <c r="H6" s="6">
        <v>0.6</v>
      </c>
      <c r="I6" s="6">
        <v>0.2</v>
      </c>
      <c r="J6" s="8">
        <v>23.6</v>
      </c>
      <c r="K6"/>
    </row>
    <row r="7" spans="1:12" s="51" customFormat="1" x14ac:dyDescent="0.25">
      <c r="A7" s="120"/>
      <c r="B7" s="7" t="s">
        <v>39</v>
      </c>
      <c r="C7" s="5" t="s">
        <v>40</v>
      </c>
      <c r="D7" s="5" t="s">
        <v>63</v>
      </c>
      <c r="E7" s="60">
        <v>35</v>
      </c>
      <c r="F7" s="55">
        <v>6.91</v>
      </c>
      <c r="G7" s="43">
        <f>350*0.35</f>
        <v>122.49999999999999</v>
      </c>
      <c r="H7" s="43">
        <f>5*0.35</f>
        <v>1.75</v>
      </c>
      <c r="I7" s="43">
        <f>6*0.35</f>
        <v>2.0999999999999996</v>
      </c>
      <c r="J7" s="44">
        <f>69*0.35</f>
        <v>24.15</v>
      </c>
      <c r="K7"/>
    </row>
    <row r="8" spans="1:12" s="38" customFormat="1" ht="15.75" thickBot="1" x14ac:dyDescent="0.3">
      <c r="A8" s="120"/>
      <c r="B8" s="9" t="s">
        <v>14</v>
      </c>
      <c r="C8" s="10" t="s">
        <v>32</v>
      </c>
      <c r="D8" s="10" t="s">
        <v>33</v>
      </c>
      <c r="E8" s="17">
        <v>27</v>
      </c>
      <c r="F8" s="18">
        <v>1.05</v>
      </c>
      <c r="G8" s="18">
        <f>229.7*0.27</f>
        <v>62.018999999999998</v>
      </c>
      <c r="H8" s="11">
        <f>6.7*0.27</f>
        <v>1.8090000000000002</v>
      </c>
      <c r="I8" s="11">
        <f>1.1*0.27</f>
        <v>0.29700000000000004</v>
      </c>
      <c r="J8" s="12">
        <f>48.3*0.27</f>
        <v>13.041</v>
      </c>
    </row>
    <row r="9" spans="1:12" ht="16.5" thickBot="1" x14ac:dyDescent="0.3">
      <c r="A9" s="80" t="s">
        <v>15</v>
      </c>
      <c r="B9" s="81"/>
      <c r="C9" s="81"/>
      <c r="D9" s="81"/>
      <c r="E9" s="82"/>
      <c r="F9" s="59">
        <f>SUM(F3:F8)</f>
        <v>97.149999999999991</v>
      </c>
      <c r="G9" s="59">
        <f>SUM(G3:G8)</f>
        <v>676.649</v>
      </c>
      <c r="H9" s="59">
        <f>SUM(H3:H8)</f>
        <v>22.648300000000003</v>
      </c>
      <c r="I9" s="59">
        <f>SUM(I3:I8)</f>
        <v>21.205699999999997</v>
      </c>
      <c r="J9" s="59">
        <f>SUM(J3:J8)</f>
        <v>97.365999999999985</v>
      </c>
    </row>
    <row r="10" spans="1:12" x14ac:dyDescent="0.25">
      <c r="A10" s="121" t="s">
        <v>28</v>
      </c>
      <c r="B10" s="20" t="s">
        <v>16</v>
      </c>
      <c r="C10" s="21" t="s">
        <v>66</v>
      </c>
      <c r="D10" s="111" t="s">
        <v>67</v>
      </c>
      <c r="E10" s="13" t="s">
        <v>68</v>
      </c>
      <c r="F10" s="14">
        <v>7.41</v>
      </c>
      <c r="G10" s="112">
        <f>593*0.25</f>
        <v>148.25</v>
      </c>
      <c r="H10" s="112">
        <f>21.96*0.25</f>
        <v>5.49</v>
      </c>
      <c r="I10" s="112">
        <f>21.08*0.25</f>
        <v>5.27</v>
      </c>
      <c r="J10" s="113">
        <f>66.14*0.25</f>
        <v>16.535</v>
      </c>
      <c r="K10"/>
    </row>
    <row r="11" spans="1:12" x14ac:dyDescent="0.25">
      <c r="A11" s="121"/>
      <c r="B11" s="7" t="s">
        <v>13</v>
      </c>
      <c r="C11" s="5" t="s">
        <v>49</v>
      </c>
      <c r="D11" s="5" t="s">
        <v>72</v>
      </c>
      <c r="E11" s="16" t="s">
        <v>73</v>
      </c>
      <c r="F11" s="6">
        <v>19.79</v>
      </c>
      <c r="G11" s="24">
        <f>151.2*0.46</f>
        <v>69.551999999999992</v>
      </c>
      <c r="H11" s="24">
        <f>15.6*0.46</f>
        <v>7.1760000000000002</v>
      </c>
      <c r="I11" s="24">
        <f>8.4*0.46</f>
        <v>3.8640000000000003</v>
      </c>
      <c r="J11" s="25">
        <f>3.3*0.46</f>
        <v>1.518</v>
      </c>
      <c r="K11"/>
    </row>
    <row r="12" spans="1:12" s="51" customFormat="1" ht="15" customHeight="1" x14ac:dyDescent="0.25">
      <c r="A12" s="121"/>
      <c r="B12" s="7" t="s">
        <v>17</v>
      </c>
      <c r="C12" s="5" t="s">
        <v>38</v>
      </c>
      <c r="D12" s="5" t="s">
        <v>45</v>
      </c>
      <c r="E12" s="16">
        <v>120</v>
      </c>
      <c r="F12" s="6">
        <v>11.47</v>
      </c>
      <c r="G12" s="57">
        <f>112.3*1.2</f>
        <v>134.76</v>
      </c>
      <c r="H12" s="57">
        <f>3.68*1.2</f>
        <v>4.4160000000000004</v>
      </c>
      <c r="I12" s="57">
        <f>3.01*1.2</f>
        <v>3.6119999999999997</v>
      </c>
      <c r="J12" s="58">
        <f>17.63*1.2</f>
        <v>21.155999999999999</v>
      </c>
    </row>
    <row r="13" spans="1:12" s="28" customFormat="1" x14ac:dyDescent="0.25">
      <c r="A13" s="121"/>
      <c r="B13" s="7" t="s">
        <v>18</v>
      </c>
      <c r="C13" s="5" t="s">
        <v>19</v>
      </c>
      <c r="D13" s="5" t="s">
        <v>20</v>
      </c>
      <c r="E13" s="16" t="s">
        <v>34</v>
      </c>
      <c r="F13" s="6">
        <v>2.31</v>
      </c>
      <c r="G13" s="6">
        <v>60</v>
      </c>
      <c r="H13" s="6">
        <v>7.0000000000000007E-2</v>
      </c>
      <c r="I13" s="6">
        <v>0.02</v>
      </c>
      <c r="J13" s="8">
        <v>15</v>
      </c>
    </row>
    <row r="14" spans="1:12" ht="15.75" thickBot="1" x14ac:dyDescent="0.3">
      <c r="A14" s="121"/>
      <c r="B14" s="9" t="s">
        <v>14</v>
      </c>
      <c r="C14" s="10" t="s">
        <v>32</v>
      </c>
      <c r="D14" s="10" t="s">
        <v>33</v>
      </c>
      <c r="E14" s="17">
        <v>34</v>
      </c>
      <c r="F14" s="18">
        <v>1.31</v>
      </c>
      <c r="G14" s="18">
        <f>229.7*0.34</f>
        <v>78.097999999999999</v>
      </c>
      <c r="H14" s="11">
        <f>6.7*0.34</f>
        <v>2.278</v>
      </c>
      <c r="I14" s="11">
        <f>1.1*0.34</f>
        <v>0.37400000000000005</v>
      </c>
      <c r="J14" s="12">
        <f>48.3*0.34</f>
        <v>16.422000000000001</v>
      </c>
    </row>
    <row r="15" spans="1:12" ht="16.5" thickBot="1" x14ac:dyDescent="0.3">
      <c r="A15" s="94" t="s">
        <v>15</v>
      </c>
      <c r="B15" s="81"/>
      <c r="C15" s="81"/>
      <c r="D15" s="81"/>
      <c r="E15" s="96"/>
      <c r="F15" s="19">
        <f>SUM(F10:F14)</f>
        <v>42.290000000000006</v>
      </c>
      <c r="G15" s="19">
        <f t="shared" ref="G15:J15" si="0">SUM(G10:G14)</f>
        <v>490.66</v>
      </c>
      <c r="H15" s="19">
        <f t="shared" si="0"/>
        <v>19.43</v>
      </c>
      <c r="I15" s="19">
        <f t="shared" si="0"/>
        <v>13.14</v>
      </c>
      <c r="J15" s="19">
        <f t="shared" si="0"/>
        <v>70.631</v>
      </c>
    </row>
    <row r="16" spans="1:12" s="51" customFormat="1" ht="16.5" customHeight="1" x14ac:dyDescent="0.25">
      <c r="A16" s="114" t="s">
        <v>29</v>
      </c>
      <c r="B16" s="48" t="s">
        <v>31</v>
      </c>
      <c r="C16" s="47" t="s">
        <v>41</v>
      </c>
      <c r="D16" s="47" t="s">
        <v>46</v>
      </c>
      <c r="E16" s="13">
        <v>20</v>
      </c>
      <c r="F16" s="14">
        <v>2.7</v>
      </c>
      <c r="G16" s="14">
        <f>11/50*20</f>
        <v>4.4000000000000004</v>
      </c>
      <c r="H16" s="14">
        <f>0.55/50*20</f>
        <v>0.22000000000000003</v>
      </c>
      <c r="I16" s="14">
        <f>0.1/50*20</f>
        <v>0.04</v>
      </c>
      <c r="J16" s="15">
        <f>1.9/50*20</f>
        <v>0.76</v>
      </c>
    </row>
    <row r="17" spans="1:11" s="37" customFormat="1" x14ac:dyDescent="0.25">
      <c r="A17" s="115"/>
      <c r="B17" s="7" t="s">
        <v>16</v>
      </c>
      <c r="C17" s="5" t="s">
        <v>66</v>
      </c>
      <c r="D17" s="117" t="s">
        <v>74</v>
      </c>
      <c r="E17" s="16" t="s">
        <v>44</v>
      </c>
      <c r="F17" s="6">
        <v>12.49</v>
      </c>
      <c r="G17" s="49">
        <f>593*0.25+349*0.1</f>
        <v>183.15</v>
      </c>
      <c r="H17" s="49">
        <f>21.96*0.25+14.9*0.1</f>
        <v>6.98</v>
      </c>
      <c r="I17" s="49">
        <f>21.08*0.25+32.2*0.1</f>
        <v>8.49</v>
      </c>
      <c r="J17" s="53">
        <f>66.14*0.25+0.2*0.1</f>
        <v>16.555</v>
      </c>
    </row>
    <row r="18" spans="1:11" s="45" customFormat="1" x14ac:dyDescent="0.25">
      <c r="A18" s="115"/>
      <c r="B18" s="7" t="s">
        <v>13</v>
      </c>
      <c r="C18" s="5" t="s">
        <v>49</v>
      </c>
      <c r="D18" s="5" t="s">
        <v>72</v>
      </c>
      <c r="E18" s="16" t="s">
        <v>50</v>
      </c>
      <c r="F18" s="6">
        <v>34.409999999999997</v>
      </c>
      <c r="G18" s="24">
        <f>151.2*0.8</f>
        <v>120.96</v>
      </c>
      <c r="H18" s="24">
        <f>15.6*0.8</f>
        <v>12.48</v>
      </c>
      <c r="I18" s="24">
        <f>8.4*0.8</f>
        <v>6.7200000000000006</v>
      </c>
      <c r="J18" s="25">
        <f>3.3*0.8</f>
        <v>2.64</v>
      </c>
      <c r="K18"/>
    </row>
    <row r="19" spans="1:11" s="51" customFormat="1" ht="15" customHeight="1" x14ac:dyDescent="0.25">
      <c r="A19" s="115"/>
      <c r="B19" s="7" t="s">
        <v>17</v>
      </c>
      <c r="C19" s="5" t="s">
        <v>38</v>
      </c>
      <c r="D19" s="5" t="s">
        <v>45</v>
      </c>
      <c r="E19" s="16">
        <v>120</v>
      </c>
      <c r="F19" s="6">
        <v>11.47</v>
      </c>
      <c r="G19" s="57">
        <f>112.3*1.2</f>
        <v>134.76</v>
      </c>
      <c r="H19" s="57">
        <f>3.68*1.2</f>
        <v>4.4160000000000004</v>
      </c>
      <c r="I19" s="57">
        <f>3.01*1.2</f>
        <v>3.6119999999999997</v>
      </c>
      <c r="J19" s="58">
        <f>17.63*1.2</f>
        <v>21.155999999999999</v>
      </c>
    </row>
    <row r="20" spans="1:11" s="34" customFormat="1" x14ac:dyDescent="0.25">
      <c r="A20" s="115"/>
      <c r="B20" s="7" t="s">
        <v>53</v>
      </c>
      <c r="C20" s="5" t="s">
        <v>54</v>
      </c>
      <c r="D20" s="5" t="s">
        <v>55</v>
      </c>
      <c r="E20" s="16">
        <v>200</v>
      </c>
      <c r="F20" s="6">
        <v>10.27</v>
      </c>
      <c r="G20" s="6">
        <f>573*0.2</f>
        <v>114.60000000000001</v>
      </c>
      <c r="H20" s="6">
        <f>0.8*0.2</f>
        <v>0.16000000000000003</v>
      </c>
      <c r="I20" s="6">
        <f>0.6*0.2</f>
        <v>0.12</v>
      </c>
      <c r="J20" s="8">
        <f>140.4*0.2</f>
        <v>28.080000000000002</v>
      </c>
    </row>
    <row r="21" spans="1:11" s="54" customFormat="1" x14ac:dyDescent="0.25">
      <c r="A21" s="115"/>
      <c r="B21" s="7" t="s">
        <v>21</v>
      </c>
      <c r="C21" s="5" t="s">
        <v>77</v>
      </c>
      <c r="D21" s="5" t="s">
        <v>78</v>
      </c>
      <c r="E21" s="16">
        <v>50</v>
      </c>
      <c r="F21" s="6">
        <v>4.7300000000000004</v>
      </c>
      <c r="G21" s="43">
        <v>161.9</v>
      </c>
      <c r="H21" s="43">
        <v>3.2</v>
      </c>
      <c r="I21" s="43">
        <v>3.2</v>
      </c>
      <c r="J21" s="44">
        <v>29.99</v>
      </c>
    </row>
    <row r="22" spans="1:11" s="34" customFormat="1" x14ac:dyDescent="0.25">
      <c r="A22" s="115"/>
      <c r="B22" s="7" t="s">
        <v>14</v>
      </c>
      <c r="C22" s="5" t="s">
        <v>32</v>
      </c>
      <c r="D22" s="5" t="s">
        <v>33</v>
      </c>
      <c r="E22" s="16">
        <v>44</v>
      </c>
      <c r="F22" s="6">
        <v>1.69</v>
      </c>
      <c r="G22" s="6">
        <f>229.7*0.44</f>
        <v>101.068</v>
      </c>
      <c r="H22" s="55">
        <f>6.7*0.44</f>
        <v>2.948</v>
      </c>
      <c r="I22" s="55">
        <f>1.1*0.44</f>
        <v>0.48400000000000004</v>
      </c>
      <c r="J22" s="118">
        <f>48.3*0.44</f>
        <v>21.251999999999999</v>
      </c>
    </row>
    <row r="23" spans="1:11" s="71" customFormat="1" ht="15.75" thickBot="1" x14ac:dyDescent="0.3">
      <c r="A23" s="116"/>
      <c r="B23" s="9" t="s">
        <v>64</v>
      </c>
      <c r="C23" s="10" t="s">
        <v>65</v>
      </c>
      <c r="D23" s="10" t="s">
        <v>76</v>
      </c>
      <c r="E23" s="17">
        <v>95</v>
      </c>
      <c r="F23" s="18">
        <v>19.39</v>
      </c>
      <c r="G23" s="77">
        <f>43*0.95</f>
        <v>40.85</v>
      </c>
      <c r="H23" s="77">
        <f>0.9*0.95</f>
        <v>0.85499999999999998</v>
      </c>
      <c r="I23" s="77">
        <f>0.2*0.95</f>
        <v>0.19</v>
      </c>
      <c r="J23" s="78">
        <f>8.1*0.95</f>
        <v>7.6949999999999994</v>
      </c>
      <c r="K23"/>
    </row>
    <row r="24" spans="1:11" s="29" customFormat="1" ht="16.5" thickBot="1" x14ac:dyDescent="0.3">
      <c r="A24" s="80" t="s">
        <v>15</v>
      </c>
      <c r="B24" s="81"/>
      <c r="C24" s="81"/>
      <c r="D24" s="81"/>
      <c r="E24" s="82"/>
      <c r="F24" s="19">
        <f>SUM(F16:F23)</f>
        <v>97.149999999999991</v>
      </c>
      <c r="G24" s="19">
        <f t="shared" ref="G24:J24" si="1">SUM(G16:G23)</f>
        <v>861.68799999999999</v>
      </c>
      <c r="H24" s="19">
        <f t="shared" si="1"/>
        <v>31.259</v>
      </c>
      <c r="I24" s="19">
        <f t="shared" si="1"/>
        <v>22.856000000000002</v>
      </c>
      <c r="J24" s="19">
        <f t="shared" si="1"/>
        <v>128.12799999999999</v>
      </c>
      <c r="K24"/>
    </row>
    <row r="25" spans="1:11" s="45" customFormat="1" x14ac:dyDescent="0.25">
      <c r="A25" s="122" t="s">
        <v>30</v>
      </c>
      <c r="B25" s="20" t="s">
        <v>47</v>
      </c>
      <c r="C25" s="21" t="s">
        <v>40</v>
      </c>
      <c r="D25" s="21" t="s">
        <v>60</v>
      </c>
      <c r="E25" s="13">
        <v>200</v>
      </c>
      <c r="F25" s="14">
        <v>37.24</v>
      </c>
      <c r="G25" s="14">
        <v>160</v>
      </c>
      <c r="H25" s="14">
        <v>6.2</v>
      </c>
      <c r="I25" s="14">
        <v>5</v>
      </c>
      <c r="J25" s="15">
        <v>22</v>
      </c>
      <c r="K25"/>
    </row>
    <row r="26" spans="1:11" s="51" customFormat="1" ht="32.25" customHeight="1" thickBot="1" x14ac:dyDescent="0.3">
      <c r="A26" s="123"/>
      <c r="B26" s="9" t="s">
        <v>39</v>
      </c>
      <c r="C26" s="10" t="s">
        <v>40</v>
      </c>
      <c r="D26" s="10" t="s">
        <v>75</v>
      </c>
      <c r="E26" s="17">
        <v>22.5</v>
      </c>
      <c r="F26" s="18">
        <v>5.05</v>
      </c>
      <c r="G26" s="18">
        <f>470*0.225</f>
        <v>105.75</v>
      </c>
      <c r="H26" s="18">
        <f>8.5*0.225</f>
        <v>1.9125000000000001</v>
      </c>
      <c r="I26" s="18">
        <f>16*0.225</f>
        <v>3.6</v>
      </c>
      <c r="J26" s="30">
        <f>73*0.225</f>
        <v>16.425000000000001</v>
      </c>
    </row>
    <row r="27" spans="1:11" s="45" customFormat="1" ht="16.5" thickBot="1" x14ac:dyDescent="0.3">
      <c r="A27" s="83" t="s">
        <v>15</v>
      </c>
      <c r="B27" s="84"/>
      <c r="C27" s="84"/>
      <c r="D27" s="84"/>
      <c r="E27" s="85"/>
      <c r="F27" s="3">
        <f>SUM(F25:F26)</f>
        <v>42.29</v>
      </c>
      <c r="G27" s="3">
        <f>SUM(G25:G26)</f>
        <v>265.75</v>
      </c>
      <c r="H27" s="3">
        <f>SUM(H25:H26)</f>
        <v>8.1125000000000007</v>
      </c>
      <c r="I27" s="3">
        <f>SUM(I25:I26)</f>
        <v>8.6</v>
      </c>
      <c r="J27" s="3">
        <f>SUM(J25:J26)</f>
        <v>38.424999999999997</v>
      </c>
      <c r="K27"/>
    </row>
    <row r="29" spans="1:11" ht="15.75" thickBot="1" x14ac:dyDescent="0.3">
      <c r="A29" s="86" t="s">
        <v>25</v>
      </c>
      <c r="B29" s="86"/>
      <c r="C29" s="86"/>
      <c r="D29" s="86"/>
      <c r="E29" s="86"/>
      <c r="F29" s="86"/>
      <c r="G29" s="86"/>
      <c r="H29" s="86"/>
      <c r="I29" s="86"/>
      <c r="J29" s="86"/>
    </row>
    <row r="30" spans="1:11" ht="15.75" x14ac:dyDescent="0.25">
      <c r="A30" s="124"/>
      <c r="B30" s="23"/>
      <c r="C30" s="87" t="s">
        <v>23</v>
      </c>
      <c r="D30" s="87"/>
      <c r="G30" s="88"/>
      <c r="H30" s="88"/>
      <c r="I30" s="88"/>
      <c r="J30" s="88"/>
    </row>
    <row r="31" spans="1:11" x14ac:dyDescent="0.25">
      <c r="A31" s="119"/>
      <c r="B31" s="1"/>
      <c r="C31" s="1"/>
      <c r="D31" s="1"/>
    </row>
    <row r="32" spans="1:11" x14ac:dyDescent="0.25">
      <c r="A32" s="79" t="s">
        <v>24</v>
      </c>
      <c r="B32" s="79"/>
    </row>
    <row r="33" spans="1:2" x14ac:dyDescent="0.25">
      <c r="A33" s="79" t="s">
        <v>26</v>
      </c>
      <c r="B33" s="79"/>
    </row>
    <row r="34" spans="1:2" x14ac:dyDescent="0.25">
      <c r="A34" s="125"/>
    </row>
  </sheetData>
  <mergeCells count="15">
    <mergeCell ref="B1:C1"/>
    <mergeCell ref="G1:J1"/>
    <mergeCell ref="C30:D30"/>
    <mergeCell ref="A29:J29"/>
    <mergeCell ref="G30:J30"/>
    <mergeCell ref="A9:E9"/>
    <mergeCell ref="A10:A14"/>
    <mergeCell ref="A15:E15"/>
    <mergeCell ref="A24:E24"/>
    <mergeCell ref="A16:A23"/>
    <mergeCell ref="A32:B32"/>
    <mergeCell ref="A33:B33"/>
    <mergeCell ref="A3:A8"/>
    <mergeCell ref="A25:A26"/>
    <mergeCell ref="A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G30" sqref="G30"/>
    </sheetView>
  </sheetViews>
  <sheetFormatPr defaultRowHeight="15" x14ac:dyDescent="0.25"/>
  <cols>
    <col min="1" max="1" width="23.85546875" style="65" customWidth="1"/>
    <col min="2" max="2" width="25.4257812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61" t="s">
        <v>0</v>
      </c>
      <c r="B1" s="104" t="s">
        <v>22</v>
      </c>
      <c r="C1" s="105"/>
      <c r="D1" s="1" t="s">
        <v>1</v>
      </c>
      <c r="E1" s="26"/>
      <c r="F1" s="1" t="s">
        <v>2</v>
      </c>
      <c r="G1" s="91">
        <v>44854</v>
      </c>
      <c r="H1" s="92"/>
      <c r="I1" s="92"/>
      <c r="J1" s="93"/>
      <c r="K1" s="1"/>
      <c r="L1" s="1"/>
    </row>
    <row r="2" spans="1:12" ht="15.75" thickBot="1" x14ac:dyDescent="0.3">
      <c r="A2" s="62" t="s">
        <v>3</v>
      </c>
      <c r="B2" s="39" t="s">
        <v>4</v>
      </c>
      <c r="C2" s="40" t="s">
        <v>5</v>
      </c>
      <c r="D2" s="40" t="s">
        <v>6</v>
      </c>
      <c r="E2" s="40" t="s">
        <v>7</v>
      </c>
      <c r="F2" s="40" t="s">
        <v>8</v>
      </c>
      <c r="G2" s="40" t="s">
        <v>9</v>
      </c>
      <c r="H2" s="40" t="s">
        <v>10</v>
      </c>
      <c r="I2" s="40" t="s">
        <v>11</v>
      </c>
      <c r="J2" s="41" t="s">
        <v>12</v>
      </c>
    </row>
    <row r="3" spans="1:12" s="51" customFormat="1" ht="15.75" x14ac:dyDescent="0.25">
      <c r="A3" s="108" t="s">
        <v>56</v>
      </c>
      <c r="B3" s="48" t="s">
        <v>31</v>
      </c>
      <c r="C3" s="47" t="s">
        <v>48</v>
      </c>
      <c r="D3" s="47" t="s">
        <v>79</v>
      </c>
      <c r="E3" s="13">
        <v>60</v>
      </c>
      <c r="F3" s="13">
        <v>5.14</v>
      </c>
      <c r="G3" s="14">
        <f>928*0.06+63*0</f>
        <v>55.68</v>
      </c>
      <c r="H3" s="14">
        <f>14.08*0.06+5.08*0</f>
        <v>0.8448</v>
      </c>
      <c r="I3" s="14">
        <f>60.12*0.06+4.6*0</f>
        <v>3.6071999999999997</v>
      </c>
      <c r="J3" s="15">
        <f>82.6*0.06+0.28*0</f>
        <v>4.9559999999999995</v>
      </c>
    </row>
    <row r="4" spans="1:12" x14ac:dyDescent="0.25">
      <c r="A4" s="109"/>
      <c r="B4" s="7" t="s">
        <v>13</v>
      </c>
      <c r="C4" s="72" t="s">
        <v>61</v>
      </c>
      <c r="D4" s="73" t="s">
        <v>62</v>
      </c>
      <c r="E4" s="16">
        <v>65</v>
      </c>
      <c r="F4" s="6">
        <v>31.27</v>
      </c>
      <c r="G4" s="74">
        <f>132.2/75*65</f>
        <v>114.57333333333332</v>
      </c>
      <c r="H4" s="75">
        <f>9.5/75*65</f>
        <v>8.2333333333333343</v>
      </c>
      <c r="I4" s="75">
        <f>5.6/75*65</f>
        <v>4.8533333333333326</v>
      </c>
      <c r="J4" s="76">
        <f>10.9/75*65</f>
        <v>9.4466666666666672</v>
      </c>
    </row>
    <row r="5" spans="1:12" s="38" customFormat="1" ht="15.75" x14ac:dyDescent="0.25">
      <c r="A5" s="109"/>
      <c r="B5" s="7" t="s">
        <v>17</v>
      </c>
      <c r="C5" s="50" t="s">
        <v>43</v>
      </c>
      <c r="D5" s="52" t="s">
        <v>42</v>
      </c>
      <c r="E5" s="16">
        <v>140</v>
      </c>
      <c r="F5" s="6">
        <v>13.79</v>
      </c>
      <c r="G5" s="49">
        <f>915*0.14</f>
        <v>128.10000000000002</v>
      </c>
      <c r="H5" s="49">
        <f>20.43*0.14</f>
        <v>2.8602000000000003</v>
      </c>
      <c r="I5" s="49">
        <f>32.01*0.14</f>
        <v>4.4813999999999998</v>
      </c>
      <c r="J5" s="53">
        <f>136.26*0.14</f>
        <v>19.0764</v>
      </c>
    </row>
    <row r="6" spans="1:12" s="42" customFormat="1" x14ac:dyDescent="0.25">
      <c r="A6" s="109"/>
      <c r="B6" s="7" t="s">
        <v>53</v>
      </c>
      <c r="C6" s="5" t="s">
        <v>54</v>
      </c>
      <c r="D6" s="5" t="s">
        <v>55</v>
      </c>
      <c r="E6" s="16">
        <v>200</v>
      </c>
      <c r="F6" s="6">
        <v>10.27</v>
      </c>
      <c r="G6" s="6">
        <v>114.6</v>
      </c>
      <c r="H6" s="6">
        <v>0.16</v>
      </c>
      <c r="I6" s="6">
        <v>0.12</v>
      </c>
      <c r="J6" s="8">
        <v>28.08</v>
      </c>
    </row>
    <row r="7" spans="1:12" s="51" customFormat="1" x14ac:dyDescent="0.25">
      <c r="A7" s="109"/>
      <c r="B7" s="66" t="s">
        <v>39</v>
      </c>
      <c r="C7" s="67" t="s">
        <v>40</v>
      </c>
      <c r="D7" s="67" t="s">
        <v>80</v>
      </c>
      <c r="E7" s="68">
        <v>60</v>
      </c>
      <c r="F7" s="69">
        <v>15.54</v>
      </c>
      <c r="G7" s="69">
        <f>330*0.6</f>
        <v>198</v>
      </c>
      <c r="H7" s="69">
        <f>1*0.6</f>
        <v>0.6</v>
      </c>
      <c r="I7" s="69">
        <v>0</v>
      </c>
      <c r="J7" s="70">
        <f>81*0.6</f>
        <v>48.6</v>
      </c>
      <c r="K7"/>
    </row>
    <row r="8" spans="1:12" ht="15.75" thickBot="1" x14ac:dyDescent="0.3">
      <c r="A8" s="110"/>
      <c r="B8" s="9" t="s">
        <v>14</v>
      </c>
      <c r="C8" s="10" t="s">
        <v>32</v>
      </c>
      <c r="D8" s="10" t="s">
        <v>33</v>
      </c>
      <c r="E8" s="17">
        <v>25.5</v>
      </c>
      <c r="F8" s="18">
        <v>0.99</v>
      </c>
      <c r="G8" s="18">
        <f>229.7*0.255</f>
        <v>58.573499999999996</v>
      </c>
      <c r="H8" s="11">
        <f>6.7*0.255</f>
        <v>1.7085000000000001</v>
      </c>
      <c r="I8" s="11">
        <f>1.1*0.255</f>
        <v>0.28050000000000003</v>
      </c>
      <c r="J8" s="12">
        <f>48.3*0.255</f>
        <v>12.3165</v>
      </c>
    </row>
    <row r="9" spans="1:12" ht="16.5" thickBot="1" x14ac:dyDescent="0.3">
      <c r="A9" s="106" t="s">
        <v>15</v>
      </c>
      <c r="B9" s="81"/>
      <c r="C9" s="81"/>
      <c r="D9" s="81"/>
      <c r="E9" s="96"/>
      <c r="F9" s="19">
        <f>SUM(F3:F8)</f>
        <v>76.999999999999986</v>
      </c>
      <c r="G9" s="19">
        <f t="shared" ref="G9:J9" si="0">SUM(G3:G8)</f>
        <v>669.52683333333334</v>
      </c>
      <c r="H9" s="19">
        <f t="shared" si="0"/>
        <v>14.406833333333335</v>
      </c>
      <c r="I9" s="19">
        <f t="shared" si="0"/>
        <v>13.34243333333333</v>
      </c>
      <c r="J9" s="19">
        <f t="shared" si="0"/>
        <v>122.47556666666667</v>
      </c>
    </row>
    <row r="10" spans="1:12" s="51" customFormat="1" ht="30" x14ac:dyDescent="0.25">
      <c r="A10" s="98" t="s">
        <v>35</v>
      </c>
      <c r="B10" s="48" t="s">
        <v>31</v>
      </c>
      <c r="C10" s="47" t="s">
        <v>59</v>
      </c>
      <c r="D10" s="47" t="s">
        <v>81</v>
      </c>
      <c r="E10" s="13">
        <v>13</v>
      </c>
      <c r="F10" s="14">
        <v>8.98</v>
      </c>
      <c r="G10" s="14">
        <f>592*0.013</f>
        <v>7.6959999999999997</v>
      </c>
      <c r="H10" s="14">
        <f>28.85*0.013</f>
        <v>0.37504999999999999</v>
      </c>
      <c r="I10" s="14">
        <f>27.24*0.013</f>
        <v>0.35411999999999999</v>
      </c>
      <c r="J10" s="15">
        <f>57.86*0.013</f>
        <v>0.75217999999999996</v>
      </c>
    </row>
    <row r="11" spans="1:12" s="51" customFormat="1" ht="15.75" x14ac:dyDescent="0.25">
      <c r="A11" s="127"/>
      <c r="B11" s="7" t="s">
        <v>17</v>
      </c>
      <c r="C11" s="50" t="s">
        <v>43</v>
      </c>
      <c r="D11" s="52" t="s">
        <v>42</v>
      </c>
      <c r="E11" s="16">
        <v>150</v>
      </c>
      <c r="F11" s="6">
        <v>14.78</v>
      </c>
      <c r="G11" s="49">
        <f>915*0.15</f>
        <v>137.25</v>
      </c>
      <c r="H11" s="49">
        <f>20.43*0.15</f>
        <v>3.0644999999999998</v>
      </c>
      <c r="I11" s="49">
        <f>32.01*0.15</f>
        <v>4.8014999999999999</v>
      </c>
      <c r="J11" s="53">
        <f>136.26*0.15</f>
        <v>20.438999999999997</v>
      </c>
    </row>
    <row r="12" spans="1:12" s="27" customFormat="1" x14ac:dyDescent="0.25">
      <c r="A12" s="127"/>
      <c r="B12" s="7" t="s">
        <v>18</v>
      </c>
      <c r="C12" s="5" t="s">
        <v>19</v>
      </c>
      <c r="D12" s="5" t="s">
        <v>20</v>
      </c>
      <c r="E12" s="16" t="s">
        <v>34</v>
      </c>
      <c r="F12" s="6">
        <v>2.31</v>
      </c>
      <c r="G12" s="6">
        <v>60</v>
      </c>
      <c r="H12" s="6">
        <v>7.0000000000000007E-2</v>
      </c>
      <c r="I12" s="6">
        <v>0.02</v>
      </c>
      <c r="J12" s="8">
        <v>15</v>
      </c>
    </row>
    <row r="13" spans="1:12" s="29" customFormat="1" ht="15.75" thickBot="1" x14ac:dyDescent="0.3">
      <c r="A13" s="99"/>
      <c r="B13" s="9" t="s">
        <v>14</v>
      </c>
      <c r="C13" s="10" t="s">
        <v>32</v>
      </c>
      <c r="D13" s="10" t="s">
        <v>33</v>
      </c>
      <c r="E13" s="17">
        <v>24</v>
      </c>
      <c r="F13" s="18">
        <v>0.93</v>
      </c>
      <c r="G13" s="18">
        <f>229.7*0.24</f>
        <v>55.127999999999993</v>
      </c>
      <c r="H13" s="11">
        <f>6.7*0.24</f>
        <v>1.6079999999999999</v>
      </c>
      <c r="I13" s="11">
        <f>1.1*0.24</f>
        <v>0.26400000000000001</v>
      </c>
      <c r="J13" s="12">
        <f>48.3*0.24</f>
        <v>11.591999999999999</v>
      </c>
    </row>
    <row r="14" spans="1:12" ht="16.5" thickBot="1" x14ac:dyDescent="0.3">
      <c r="A14" s="97" t="s">
        <v>15</v>
      </c>
      <c r="B14" s="81"/>
      <c r="C14" s="81"/>
      <c r="D14" s="81"/>
      <c r="E14" s="96"/>
      <c r="F14" s="19">
        <f>SUM(F10:F13)</f>
        <v>26.999999999999996</v>
      </c>
      <c r="G14" s="19">
        <f>SUM(G10:G13)</f>
        <v>260.07400000000001</v>
      </c>
      <c r="H14" s="19">
        <f>SUM(H10:H13)</f>
        <v>5.1175499999999996</v>
      </c>
      <c r="I14" s="19">
        <f>SUM(I10:I13)</f>
        <v>5.4396199999999997</v>
      </c>
      <c r="J14" s="19">
        <f>SUM(J10:J13)</f>
        <v>47.783179999999994</v>
      </c>
    </row>
    <row r="15" spans="1:12" s="28" customFormat="1" x14ac:dyDescent="0.25">
      <c r="A15" s="98" t="s">
        <v>36</v>
      </c>
      <c r="B15" s="20" t="s">
        <v>18</v>
      </c>
      <c r="C15" s="21" t="s">
        <v>19</v>
      </c>
      <c r="D15" s="21" t="s">
        <v>20</v>
      </c>
      <c r="E15" s="13" t="s">
        <v>34</v>
      </c>
      <c r="F15" s="14">
        <v>2.31</v>
      </c>
      <c r="G15" s="14">
        <v>60</v>
      </c>
      <c r="H15" s="14">
        <v>7.0000000000000007E-2</v>
      </c>
      <c r="I15" s="14">
        <v>0.02</v>
      </c>
      <c r="J15" s="15">
        <v>15</v>
      </c>
    </row>
    <row r="16" spans="1:12" s="28" customFormat="1" ht="15.75" thickBot="1" x14ac:dyDescent="0.3">
      <c r="A16" s="99"/>
      <c r="B16" s="9" t="s">
        <v>39</v>
      </c>
      <c r="C16" s="10" t="s">
        <v>40</v>
      </c>
      <c r="D16" s="10" t="s">
        <v>58</v>
      </c>
      <c r="E16" s="17">
        <v>16</v>
      </c>
      <c r="F16" s="18">
        <v>4.6900000000000004</v>
      </c>
      <c r="G16" s="18">
        <f>490*0.16</f>
        <v>78.400000000000006</v>
      </c>
      <c r="H16" s="18">
        <f>4.59*0.16</f>
        <v>0.73439999999999994</v>
      </c>
      <c r="I16" s="18">
        <f>23.29*0.16</f>
        <v>3.7263999999999999</v>
      </c>
      <c r="J16" s="30">
        <f>66.29*0.16</f>
        <v>10.606400000000001</v>
      </c>
    </row>
    <row r="17" spans="1:10" ht="16.5" thickBot="1" x14ac:dyDescent="0.3">
      <c r="A17" s="80" t="s">
        <v>15</v>
      </c>
      <c r="B17" s="95"/>
      <c r="C17" s="95"/>
      <c r="D17" s="95"/>
      <c r="E17" s="100"/>
      <c r="F17" s="19">
        <f>SUM(F15:F16)</f>
        <v>7</v>
      </c>
      <c r="G17" s="19">
        <f>SUM(G15:G16)</f>
        <v>138.4</v>
      </c>
      <c r="H17" s="19">
        <f t="shared" ref="H17:J17" si="1">SUM(H15:H16)</f>
        <v>0.8044</v>
      </c>
      <c r="I17" s="19">
        <f t="shared" si="1"/>
        <v>3.7464</v>
      </c>
      <c r="J17" s="19">
        <f t="shared" si="1"/>
        <v>25.606400000000001</v>
      </c>
    </row>
    <row r="18" spans="1:10" x14ac:dyDescent="0.25">
      <c r="A18" s="107" t="s">
        <v>37</v>
      </c>
      <c r="B18" s="20" t="s">
        <v>16</v>
      </c>
      <c r="C18" s="21" t="s">
        <v>66</v>
      </c>
      <c r="D18" s="111" t="s">
        <v>67</v>
      </c>
      <c r="E18" s="13" t="s">
        <v>68</v>
      </c>
      <c r="F18" s="14">
        <v>7.41</v>
      </c>
      <c r="G18" s="112">
        <f>593*0.25</f>
        <v>148.25</v>
      </c>
      <c r="H18" s="112">
        <f>21.96*0.25</f>
        <v>5.49</v>
      </c>
      <c r="I18" s="112">
        <f>21.08*0.25</f>
        <v>5.27</v>
      </c>
      <c r="J18" s="113">
        <f>66.14*0.25</f>
        <v>16.535</v>
      </c>
    </row>
    <row r="19" spans="1:10" s="46" customFormat="1" x14ac:dyDescent="0.25">
      <c r="A19" s="107"/>
      <c r="B19" s="7" t="s">
        <v>13</v>
      </c>
      <c r="C19" s="5" t="s">
        <v>49</v>
      </c>
      <c r="D19" s="5" t="s">
        <v>72</v>
      </c>
      <c r="E19" s="16" t="s">
        <v>82</v>
      </c>
      <c r="F19" s="6">
        <v>21.51</v>
      </c>
      <c r="G19" s="24">
        <f>151.2*0.5</f>
        <v>75.599999999999994</v>
      </c>
      <c r="H19" s="24">
        <f>15.6*0.5</f>
        <v>7.8</v>
      </c>
      <c r="I19" s="24">
        <f>8.4*0.5</f>
        <v>4.2</v>
      </c>
      <c r="J19" s="25">
        <f>3.3*0.5</f>
        <v>1.65</v>
      </c>
    </row>
    <row r="20" spans="1:10" s="46" customFormat="1" x14ac:dyDescent="0.25">
      <c r="A20" s="107"/>
      <c r="B20" s="7" t="s">
        <v>17</v>
      </c>
      <c r="C20" s="5" t="s">
        <v>38</v>
      </c>
      <c r="D20" s="5" t="s">
        <v>45</v>
      </c>
      <c r="E20" s="16">
        <v>130</v>
      </c>
      <c r="F20" s="6">
        <v>12.43</v>
      </c>
      <c r="G20" s="57">
        <f>112.3*1.3</f>
        <v>145.99</v>
      </c>
      <c r="H20" s="57">
        <f>3.68*1.3</f>
        <v>4.7840000000000007</v>
      </c>
      <c r="I20" s="57">
        <f>3.01*1.3</f>
        <v>3.9129999999999998</v>
      </c>
      <c r="J20" s="58">
        <f>17.63*1.3</f>
        <v>22.919</v>
      </c>
    </row>
    <row r="21" spans="1:10" x14ac:dyDescent="0.25">
      <c r="A21" s="107"/>
      <c r="B21" s="7" t="s">
        <v>18</v>
      </c>
      <c r="C21" s="5" t="s">
        <v>19</v>
      </c>
      <c r="D21" s="5" t="s">
        <v>20</v>
      </c>
      <c r="E21" s="16" t="s">
        <v>34</v>
      </c>
      <c r="F21" s="6">
        <v>2.31</v>
      </c>
      <c r="G21" s="6">
        <v>60</v>
      </c>
      <c r="H21" s="6">
        <v>7.0000000000000007E-2</v>
      </c>
      <c r="I21" s="6">
        <v>0.02</v>
      </c>
      <c r="J21" s="8">
        <v>15</v>
      </c>
    </row>
    <row r="22" spans="1:10" ht="15.75" thickBot="1" x14ac:dyDescent="0.3">
      <c r="A22" s="107"/>
      <c r="B22" s="9" t="s">
        <v>14</v>
      </c>
      <c r="C22" s="10" t="s">
        <v>32</v>
      </c>
      <c r="D22" s="10" t="s">
        <v>33</v>
      </c>
      <c r="E22" s="17">
        <v>34.5</v>
      </c>
      <c r="F22" s="18">
        <v>1.34</v>
      </c>
      <c r="G22" s="18">
        <f>229.7*0.345</f>
        <v>79.246499999999983</v>
      </c>
      <c r="H22" s="11">
        <f>6.7*0.345</f>
        <v>2.3114999999999997</v>
      </c>
      <c r="I22" s="11">
        <f>1.1*0.345</f>
        <v>0.3795</v>
      </c>
      <c r="J22" s="12">
        <f>48.3*0.345</f>
        <v>16.663499999999999</v>
      </c>
    </row>
    <row r="23" spans="1:10" ht="16.5" thickBot="1" x14ac:dyDescent="0.3">
      <c r="A23" s="80" t="s">
        <v>15</v>
      </c>
      <c r="B23" s="102"/>
      <c r="C23" s="102"/>
      <c r="D23" s="102"/>
      <c r="E23" s="103"/>
      <c r="F23" s="22">
        <f>SUM(F18:F22)</f>
        <v>45.000000000000007</v>
      </c>
      <c r="G23" s="22">
        <f>SUM(G18:G22)</f>
        <v>509.0865</v>
      </c>
      <c r="H23" s="22">
        <f>SUM(H18:H22)</f>
        <v>20.455499999999997</v>
      </c>
      <c r="I23" s="22">
        <f>SUM(I18:I22)</f>
        <v>13.782499999999999</v>
      </c>
      <c r="J23" s="22">
        <f>SUM(J18:J22)</f>
        <v>72.767499999999998</v>
      </c>
    </row>
    <row r="24" spans="1:10" s="35" customFormat="1" ht="15.75" x14ac:dyDescent="0.25">
      <c r="A24" s="101" t="s">
        <v>57</v>
      </c>
      <c r="B24" s="48" t="s">
        <v>31</v>
      </c>
      <c r="C24" s="47" t="s">
        <v>41</v>
      </c>
      <c r="D24" s="47" t="s">
        <v>46</v>
      </c>
      <c r="E24" s="13">
        <v>20</v>
      </c>
      <c r="F24" s="14">
        <v>2.7</v>
      </c>
      <c r="G24" s="14">
        <f>11/50*20</f>
        <v>4.4000000000000004</v>
      </c>
      <c r="H24" s="14">
        <f>0.55/50*20</f>
        <v>0.22000000000000003</v>
      </c>
      <c r="I24" s="14">
        <f>0.1/50*20</f>
        <v>0.04</v>
      </c>
      <c r="J24" s="15">
        <f>1.9/50*20</f>
        <v>0.76</v>
      </c>
    </row>
    <row r="25" spans="1:10" s="71" customFormat="1" ht="30" x14ac:dyDescent="0.25">
      <c r="A25" s="101"/>
      <c r="B25" s="7" t="s">
        <v>16</v>
      </c>
      <c r="C25" s="5" t="s">
        <v>66</v>
      </c>
      <c r="D25" s="117" t="s">
        <v>74</v>
      </c>
      <c r="E25" s="16" t="s">
        <v>44</v>
      </c>
      <c r="F25" s="6">
        <v>12.49</v>
      </c>
      <c r="G25" s="49">
        <f>593*0.25+349*0.1</f>
        <v>183.15</v>
      </c>
      <c r="H25" s="49">
        <f>21.96*0.25+14.9*0.1</f>
        <v>6.98</v>
      </c>
      <c r="I25" s="49">
        <f>21.08*0.25+32.2*0.1</f>
        <v>8.49</v>
      </c>
      <c r="J25" s="53">
        <f>66.14*0.25+0.2*0.1</f>
        <v>16.555</v>
      </c>
    </row>
    <row r="26" spans="1:10" x14ac:dyDescent="0.25">
      <c r="A26" s="101"/>
      <c r="B26" s="7" t="s">
        <v>13</v>
      </c>
      <c r="C26" s="5" t="s">
        <v>49</v>
      </c>
      <c r="D26" s="5" t="s">
        <v>72</v>
      </c>
      <c r="E26" s="16" t="s">
        <v>50</v>
      </c>
      <c r="F26" s="6">
        <v>34.409999999999997</v>
      </c>
      <c r="G26" s="24">
        <f>151.2*0.8</f>
        <v>120.96</v>
      </c>
      <c r="H26" s="24">
        <f>15.6*0.8</f>
        <v>12.48</v>
      </c>
      <c r="I26" s="24">
        <f>8.4*0.8</f>
        <v>6.7200000000000006</v>
      </c>
      <c r="J26" s="25">
        <f>3.3*0.8</f>
        <v>2.64</v>
      </c>
    </row>
    <row r="27" spans="1:10" s="54" customFormat="1" x14ac:dyDescent="0.25">
      <c r="A27" s="101"/>
      <c r="B27" s="7" t="s">
        <v>17</v>
      </c>
      <c r="C27" s="5" t="s">
        <v>38</v>
      </c>
      <c r="D27" s="5" t="s">
        <v>45</v>
      </c>
      <c r="E27" s="16">
        <v>120</v>
      </c>
      <c r="F27" s="6">
        <v>11.47</v>
      </c>
      <c r="G27" s="57">
        <f>112.3*1.2</f>
        <v>134.76</v>
      </c>
      <c r="H27" s="57">
        <f>3.68*1.2</f>
        <v>4.4160000000000004</v>
      </c>
      <c r="I27" s="57">
        <f>3.01*1.2</f>
        <v>3.6119999999999997</v>
      </c>
      <c r="J27" s="58">
        <f>17.63*1.2</f>
        <v>21.155999999999999</v>
      </c>
    </row>
    <row r="28" spans="1:10" s="54" customFormat="1" x14ac:dyDescent="0.25">
      <c r="A28" s="101"/>
      <c r="B28" s="7" t="s">
        <v>53</v>
      </c>
      <c r="C28" s="5" t="s">
        <v>54</v>
      </c>
      <c r="D28" s="5" t="s">
        <v>55</v>
      </c>
      <c r="E28" s="16">
        <v>200</v>
      </c>
      <c r="F28" s="6">
        <v>10.27</v>
      </c>
      <c r="G28" s="6">
        <f>573*0.2</f>
        <v>114.60000000000001</v>
      </c>
      <c r="H28" s="6">
        <f>0.8*0.2</f>
        <v>0.16000000000000003</v>
      </c>
      <c r="I28" s="6">
        <f>0.6*0.2</f>
        <v>0.12</v>
      </c>
      <c r="J28" s="8">
        <f>140.4*0.2</f>
        <v>28.080000000000002</v>
      </c>
    </row>
    <row r="29" spans="1:10" s="46" customFormat="1" x14ac:dyDescent="0.25">
      <c r="A29" s="101"/>
      <c r="B29" s="7" t="s">
        <v>21</v>
      </c>
      <c r="C29" s="5" t="s">
        <v>77</v>
      </c>
      <c r="D29" s="5" t="s">
        <v>78</v>
      </c>
      <c r="E29" s="16">
        <v>50</v>
      </c>
      <c r="F29" s="6">
        <v>4.7300000000000004</v>
      </c>
      <c r="G29" s="43">
        <v>161.9</v>
      </c>
      <c r="H29" s="43">
        <v>3.2</v>
      </c>
      <c r="I29" s="43">
        <v>3.2</v>
      </c>
      <c r="J29" s="44">
        <v>29.99</v>
      </c>
    </row>
    <row r="30" spans="1:10" ht="15.75" thickBot="1" x14ac:dyDescent="0.3">
      <c r="A30" s="101"/>
      <c r="B30" s="7" t="s">
        <v>14</v>
      </c>
      <c r="C30" s="5" t="s">
        <v>32</v>
      </c>
      <c r="D30" s="5" t="s">
        <v>33</v>
      </c>
      <c r="E30" s="16">
        <v>24</v>
      </c>
      <c r="F30" s="6">
        <v>0.93</v>
      </c>
      <c r="G30" s="6">
        <f>229.7*0.24</f>
        <v>55.127999999999993</v>
      </c>
      <c r="H30" s="55">
        <f>6.7*0.24</f>
        <v>1.6079999999999999</v>
      </c>
      <c r="I30" s="55">
        <f>1.1*0.24</f>
        <v>0.26400000000000001</v>
      </c>
      <c r="J30" s="118">
        <f>48.3*0.24</f>
        <v>11.591999999999999</v>
      </c>
    </row>
    <row r="31" spans="1:10" ht="16.5" thickBot="1" x14ac:dyDescent="0.3">
      <c r="A31" s="80" t="s">
        <v>15</v>
      </c>
      <c r="B31" s="102"/>
      <c r="C31" s="102"/>
      <c r="D31" s="102"/>
      <c r="E31" s="103"/>
      <c r="F31" s="22">
        <f>SUM(F24:F30)</f>
        <v>77</v>
      </c>
      <c r="G31" s="22">
        <f>SUM(G24:G30)</f>
        <v>774.89800000000002</v>
      </c>
      <c r="H31" s="22">
        <f>SUM(H24:H30)</f>
        <v>29.064</v>
      </c>
      <c r="I31" s="22">
        <f>SUM(I24:I30)</f>
        <v>22.445999999999998</v>
      </c>
      <c r="J31" s="22">
        <f>SUM(J24:J30)</f>
        <v>110.773</v>
      </c>
    </row>
    <row r="33" spans="1:10" ht="15.75" thickBot="1" x14ac:dyDescent="0.3">
      <c r="A33" s="86" t="s">
        <v>25</v>
      </c>
      <c r="B33" s="86"/>
      <c r="C33" s="86"/>
      <c r="D33" s="86"/>
      <c r="E33" s="86"/>
      <c r="F33" s="86"/>
      <c r="G33" s="86"/>
      <c r="H33" s="86"/>
      <c r="I33" s="86"/>
      <c r="J33" s="86"/>
    </row>
    <row r="34" spans="1:10" ht="15.75" x14ac:dyDescent="0.25">
      <c r="A34" s="63"/>
      <c r="B34" s="23"/>
      <c r="C34" s="87" t="s">
        <v>23</v>
      </c>
      <c r="D34" s="87"/>
      <c r="G34" s="88"/>
      <c r="H34" s="88"/>
      <c r="I34" s="88"/>
      <c r="J34" s="88"/>
    </row>
    <row r="35" spans="1:10" x14ac:dyDescent="0.25">
      <c r="A35" s="61"/>
      <c r="B35" s="1"/>
      <c r="C35" s="1"/>
      <c r="D35" s="1"/>
    </row>
    <row r="36" spans="1:10" x14ac:dyDescent="0.25">
      <c r="A36" s="79" t="s">
        <v>24</v>
      </c>
      <c r="B36" s="79"/>
    </row>
    <row r="37" spans="1:10" x14ac:dyDescent="0.25">
      <c r="A37" s="79" t="s">
        <v>26</v>
      </c>
      <c r="B37" s="79"/>
    </row>
    <row r="38" spans="1:10" x14ac:dyDescent="0.25">
      <c r="A38" s="64"/>
    </row>
  </sheetData>
  <mergeCells count="17">
    <mergeCell ref="B1:C1"/>
    <mergeCell ref="G1:J1"/>
    <mergeCell ref="A9:E9"/>
    <mergeCell ref="A18:A22"/>
    <mergeCell ref="A3:A8"/>
    <mergeCell ref="A36:B36"/>
    <mergeCell ref="A37:B37"/>
    <mergeCell ref="A10:A13"/>
    <mergeCell ref="A14:E14"/>
    <mergeCell ref="A15:A16"/>
    <mergeCell ref="A17:E17"/>
    <mergeCell ref="A24:A30"/>
    <mergeCell ref="A31:E31"/>
    <mergeCell ref="A33:J33"/>
    <mergeCell ref="C34:D34"/>
    <mergeCell ref="G34:J34"/>
    <mergeCell ref="A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2022-10-19T13:31:23Z</dcterms:modified>
</cp:coreProperties>
</file>