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</workbook>
</file>

<file path=xl/calcChain.xml><?xml version="1.0" encoding="utf-8"?>
<calcChain xmlns="http://schemas.openxmlformats.org/spreadsheetml/2006/main">
  <c r="G30" i="2" l="1"/>
  <c r="H30" i="2"/>
  <c r="I30" i="2"/>
  <c r="J30" i="2"/>
  <c r="J29" i="2"/>
  <c r="I29" i="2"/>
  <c r="H29" i="2"/>
  <c r="G29" i="2"/>
  <c r="J22" i="2"/>
  <c r="I22" i="2"/>
  <c r="H22" i="2"/>
  <c r="G22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0" i="2"/>
  <c r="I20" i="2"/>
  <c r="H20" i="2"/>
  <c r="G20" i="2"/>
  <c r="J19" i="2"/>
  <c r="I19" i="2"/>
  <c r="H19" i="2"/>
  <c r="G19" i="2"/>
  <c r="J18" i="2"/>
  <c r="I18" i="2"/>
  <c r="H18" i="2"/>
  <c r="G18" i="2"/>
  <c r="J13" i="2"/>
  <c r="I13" i="2"/>
  <c r="H13" i="2"/>
  <c r="G13" i="2"/>
  <c r="J11" i="2"/>
  <c r="I11" i="2"/>
  <c r="H11" i="2"/>
  <c r="G11" i="2"/>
  <c r="J9" i="2"/>
  <c r="I9" i="2"/>
  <c r="H9" i="2"/>
  <c r="G9" i="2"/>
  <c r="J14" i="1"/>
  <c r="I14" i="1"/>
  <c r="H14" i="1"/>
  <c r="G14" i="1"/>
  <c r="J6" i="2"/>
  <c r="I6" i="2"/>
  <c r="H6" i="2"/>
  <c r="G6" i="2"/>
  <c r="J3" i="2"/>
  <c r="I3" i="2"/>
  <c r="H3" i="2"/>
  <c r="G3" i="2"/>
  <c r="J4" i="2"/>
  <c r="I4" i="2"/>
  <c r="H4" i="2"/>
  <c r="G4" i="2"/>
  <c r="J15" i="2" l="1"/>
  <c r="I15" i="2"/>
  <c r="H15" i="2"/>
  <c r="G15" i="2"/>
  <c r="J25" i="1"/>
  <c r="I25" i="1"/>
  <c r="H25" i="1"/>
  <c r="G25" i="1"/>
  <c r="J23" i="1"/>
  <c r="I23" i="1"/>
  <c r="H23" i="1"/>
  <c r="G23" i="1"/>
  <c r="J21" i="1"/>
  <c r="I21" i="1"/>
  <c r="H21" i="1"/>
  <c r="G21" i="1"/>
  <c r="J19" i="1"/>
  <c r="I19" i="1"/>
  <c r="H19" i="1"/>
  <c r="G19" i="1"/>
  <c r="I16" i="1"/>
  <c r="H16" i="1"/>
  <c r="G16" i="1"/>
  <c r="J12" i="1"/>
  <c r="I12" i="1"/>
  <c r="H12" i="1"/>
  <c r="G12" i="1"/>
  <c r="J11" i="1"/>
  <c r="I11" i="1"/>
  <c r="H11" i="1"/>
  <c r="G11" i="1"/>
  <c r="J17" i="1"/>
  <c r="I17" i="1"/>
  <c r="H17" i="1"/>
  <c r="G17" i="1"/>
  <c r="J10" i="1"/>
  <c r="I10" i="1"/>
  <c r="H10" i="1"/>
  <c r="G10" i="1"/>
  <c r="J8" i="1" l="1"/>
  <c r="I8" i="1"/>
  <c r="H8" i="1"/>
  <c r="G8" i="1"/>
  <c r="J5" i="1" l="1"/>
  <c r="I5" i="1"/>
  <c r="H5" i="1"/>
  <c r="G5" i="1"/>
  <c r="J4" i="1"/>
  <c r="I4" i="1"/>
  <c r="H4" i="1"/>
  <c r="G4" i="1"/>
  <c r="J3" i="1"/>
  <c r="I3" i="1"/>
  <c r="H3" i="1"/>
  <c r="G3" i="1"/>
  <c r="J5" i="2" l="1"/>
  <c r="I5" i="2"/>
  <c r="H5" i="2"/>
  <c r="G5" i="2"/>
  <c r="J18" i="1" l="1"/>
  <c r="I18" i="1"/>
  <c r="H18" i="1"/>
  <c r="G18" i="1"/>
  <c r="J16" i="1"/>
  <c r="F30" i="2" l="1"/>
  <c r="F23" i="2"/>
  <c r="G23" i="2"/>
  <c r="H15" i="1" l="1"/>
  <c r="F9" i="1"/>
  <c r="J23" i="2" l="1"/>
  <c r="I23" i="2"/>
  <c r="H23" i="2"/>
  <c r="J9" i="1" l="1"/>
  <c r="I9" i="1"/>
  <c r="H9" i="1"/>
  <c r="G9" i="1"/>
  <c r="F17" i="2" l="1"/>
  <c r="J17" i="2"/>
  <c r="I17" i="2"/>
  <c r="H17" i="2"/>
  <c r="G17" i="2"/>
  <c r="G14" i="2" l="1"/>
  <c r="F14" i="2"/>
  <c r="I14" i="2"/>
  <c r="H14" i="2"/>
  <c r="J14" i="2"/>
  <c r="F10" i="2"/>
  <c r="J10" i="2"/>
  <c r="I10" i="2"/>
  <c r="H10" i="2"/>
  <c r="G10" i="2"/>
  <c r="G22" i="1" l="1"/>
  <c r="H22" i="1"/>
  <c r="I22" i="1"/>
  <c r="J22" i="1"/>
  <c r="F22" i="1"/>
  <c r="G15" i="1" l="1"/>
  <c r="I15" i="1"/>
  <c r="J15" i="1"/>
  <c r="F15" i="1"/>
  <c r="F26" i="1" l="1"/>
  <c r="I26" i="1"/>
  <c r="H26" i="1"/>
  <c r="G26" i="1"/>
  <c r="J26" i="1" l="1"/>
</calcChain>
</file>

<file path=xl/sharedStrings.xml><?xml version="1.0" encoding="utf-8"?>
<sst xmlns="http://schemas.openxmlformats.org/spreadsheetml/2006/main" count="202" uniqueCount="78">
  <si>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</si>
  <si>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</si>
  <si>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</si>
  <si>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</si>
  <si>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</si>
  <si>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</si>
  <si>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</si>
  <si>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</si>
  <si>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</si>
  <si>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</si>
  <si>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</si>
  <si>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</si>
  <si>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</si>
  <si>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</si>
  <si>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</si>
  <si>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</si>
  <si>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</si>
  <si>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</si>
  <si>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</si>
  <si>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</si>
  <si>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</si>
  <si>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</si>
  <si>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</si>
  <si>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</si>
  <si>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</si>
  <si>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</si>
  <si>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</si>
  <si>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</si>
  <si>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</si>
  <si>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</si>
  <si>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</si>
  <si>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</si>
  <si>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</si>
  <si>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Фрукт</t>
  </si>
  <si>
    <t>№304-2015г.</t>
  </si>
  <si>
    <t>Рис отварной</t>
  </si>
  <si>
    <t>ПР</t>
  </si>
  <si>
    <t>Завтрак льготники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</si>
  <si>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</si>
  <si>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</si>
  <si>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№71-2015г.</t>
  </si>
  <si>
    <t>№295-2015г.</t>
  </si>
  <si>
    <t>Котлета рубленая из бройлер-цыплят</t>
  </si>
  <si>
    <t>Овощи натуральные свежие (огурцы)</t>
  </si>
  <si>
    <t>№260-2015г.</t>
  </si>
  <si>
    <t>Гуляш из свинины</t>
  </si>
  <si>
    <t>№338-2015г.</t>
  </si>
  <si>
    <t>№302-2015г.</t>
  </si>
  <si>
    <t>Каша рассыпчатая гречневая</t>
  </si>
  <si>
    <t>№45-2015г.</t>
  </si>
  <si>
    <t>Бутерброд с сыром</t>
  </si>
  <si>
    <t xml:space="preserve">Обед дети-инвалиды 1-4 кл 1 смена </t>
  </si>
  <si>
    <t>Завтрак 1-4 кл и дети-инвалиды 1 смена</t>
  </si>
  <si>
    <t>№171-2015г.</t>
  </si>
  <si>
    <t>Каша рассыпчатая гречневая с маслом и сахаром</t>
  </si>
  <si>
    <t>№2-2015г.</t>
  </si>
  <si>
    <t>Бутерброд с повидлом</t>
  </si>
  <si>
    <t>Завтрак 5-11 кл с доплатой 70,00 руб. и льготники с доплатой 50,00 руб. 1 смена</t>
  </si>
  <si>
    <t>Обед 6-7 кл. с доплатой 70,00 руб. и льготники с доплатой 50,00 руб. 2 смена</t>
  </si>
  <si>
    <t>40/40</t>
  </si>
  <si>
    <t>Напиток</t>
  </si>
  <si>
    <t>Молочный коктейль "Авишка" 2,5 %</t>
  </si>
  <si>
    <t>ТТК №54</t>
  </si>
  <si>
    <t>Бутерброд с красной рыбой</t>
  </si>
  <si>
    <t>45/45</t>
  </si>
  <si>
    <t>№422-2015г.</t>
  </si>
  <si>
    <t>Булочка ванильная</t>
  </si>
  <si>
    <t>20/3/25</t>
  </si>
  <si>
    <t>15/20</t>
  </si>
  <si>
    <t>№82-2015г.</t>
  </si>
  <si>
    <t>Борщ со свежей капустой и картофелем со сметаной и зеленью</t>
  </si>
  <si>
    <t>250/10/2</t>
  </si>
  <si>
    <t>14/20</t>
  </si>
  <si>
    <t>Яблоко свежее (порциями)</t>
  </si>
  <si>
    <t>№15-2015г.</t>
  </si>
  <si>
    <t>Сыр "Российский" (порциями)</t>
  </si>
  <si>
    <t>130/8/8</t>
  </si>
  <si>
    <t>15/3/25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</si>
</sst>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2" fontId="5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/>
    <xf numFmtId="2" fontId="8" fillId="0" borderId="4" xfId="0" applyNumberFormat="1" applyFont="1" applyBorder="1" applyAlignment="1">
      <alignment horizontal="right" vertical="center" wrapText="1"/>
    </xf>
    <xf numFmtId="2" fontId="8" fillId="0" borderId="12" xfId="0" applyNumberFormat="1" applyFont="1" applyBorder="1" applyAlignment="1">
      <alignment horizontal="right" vertical="center" wrapText="1"/>
    </xf>
    <xf numFmtId="0" fontId="4" fillId="0" borderId="0" xfId="0" applyFont="1"/>
    <xf numFmtId="2" fontId="5" fillId="0" borderId="21" xfId="0" applyNumberFormat="1" applyFont="1" applyBorder="1" applyAlignment="1">
      <alignment vertical="center" wrapText="1"/>
    </xf>
    <xf numFmtId="0" fontId="4" fillId="0" borderId="0" xfId="0" applyFont="1"/>
    <xf numFmtId="4" fontId="8" fillId="0" borderId="4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8" fillId="0" borderId="12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right" vertical="center" wrapText="1"/>
    </xf>
    <xf numFmtId="2" fontId="4" fillId="0" borderId="38" xfId="0" applyNumberFormat="1" applyFont="1" applyBorder="1" applyAlignment="1">
      <alignment horizontal="right" vertical="center" wrapText="1"/>
    </xf>
    <xf numFmtId="2" fontId="8" fillId="0" borderId="38" xfId="0" applyNumberFormat="1" applyFont="1" applyBorder="1" applyAlignment="1">
      <alignment horizontal="right" vertical="center" wrapText="1"/>
    </xf>
    <xf numFmtId="2" fontId="8" fillId="0" borderId="3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2" fontId="5" fillId="0" borderId="42" xfId="0" applyNumberFormat="1" applyFont="1" applyBorder="1" applyAlignment="1">
      <alignment vertical="center" wrapText="1"/>
    </xf>
    <xf numFmtId="0" fontId="4" fillId="0" borderId="0" xfId="0" applyFont="1"/>
    <xf numFmtId="0" fontId="4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14" fontId="7" fillId="0" borderId="29" xfId="0" applyNumberFormat="1" applyFont="1" applyBorder="1" applyAlignment="1">
      <alignment horizontal="center" vertical="center" wrapText="1"/>
    </xf>
    <xf numFmtId="14" fontId="7" fillId="0" borderId="3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4" xfId="0" applyFont="1" applyBorder="1" applyAlignment="1">
      <alignment horizontal="right" vertical="center" wrapText="1"/>
    </xf>
    <xf numFmtId="2" fontId="4" fillId="0" borderId="44" xfId="0" applyNumberFormat="1" applyFont="1" applyBorder="1" applyAlignment="1">
      <alignment horizontal="right" vertical="center" wrapText="1"/>
    </xf>
    <xf numFmtId="2" fontId="4" fillId="0" borderId="4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6"/>
    <cellStyle name="Обычный 2 4 2" xfId="7"/>
    <cellStyle name="Обычный 2 4 3" xfId="4"/>
    <cellStyle name="Обычный 2 5" xfId="8"/>
    <cellStyle name="Обычный 2 6" xfId="9"/>
    <cellStyle name="Обычный 2 6 2" xfId="10"/>
    <cellStyle name="Обычный 2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14" sqref="C14:D14"/>
    </sheetView>
  </sheetViews>
  <sheetFormatPr defaultRowHeight="15" x14ac:dyDescent="0.25"/>
  <cols>
    <col min="1" max="1" width="21.85546875" style="2" customWidth="1"/>
    <col min="2" max="2" width="22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5" t="s">
        <v>22</v>
      </c>
      <c r="C1" s="86"/>
      <c r="D1" s="1" t="s">
        <v>1</v>
      </c>
      <c r="E1" s="37"/>
      <c r="F1" s="1" t="s">
        <v>2</v>
      </c>
      <c r="G1" s="87">
        <v>44855</v>
      </c>
      <c r="H1" s="88"/>
      <c r="I1" s="88"/>
      <c r="J1" s="89"/>
      <c r="K1" s="1"/>
      <c r="L1" s="1"/>
    </row>
    <row r="2" spans="1:12" ht="15.75" thickBot="1" x14ac:dyDescent="0.3">
      <c r="A2" s="36" t="s">
        <v>3</v>
      </c>
      <c r="B2" s="5" t="s">
        <v>4</v>
      </c>
      <c r="C2" s="33" t="s">
        <v>5</v>
      </c>
      <c r="D2" s="36" t="s">
        <v>6</v>
      </c>
      <c r="E2" s="36" t="s">
        <v>7</v>
      </c>
      <c r="F2" s="36" t="s">
        <v>8</v>
      </c>
      <c r="G2" s="38" t="s">
        <v>9</v>
      </c>
      <c r="H2" s="5" t="s">
        <v>10</v>
      </c>
      <c r="I2" s="5" t="s">
        <v>11</v>
      </c>
      <c r="J2" s="39" t="s">
        <v>12</v>
      </c>
    </row>
    <row r="3" spans="1:12" s="26" customFormat="1" x14ac:dyDescent="0.25">
      <c r="A3" s="102" t="s">
        <v>52</v>
      </c>
      <c r="B3" s="41" t="s">
        <v>29</v>
      </c>
      <c r="C3" s="73" t="s">
        <v>40</v>
      </c>
      <c r="D3" s="73" t="s">
        <v>43</v>
      </c>
      <c r="E3" s="55">
        <v>35</v>
      </c>
      <c r="F3" s="55">
        <v>4.22</v>
      </c>
      <c r="G3" s="56">
        <f>6/50*35</f>
        <v>4.2</v>
      </c>
      <c r="H3" s="56">
        <f>0.35/50*35</f>
        <v>0.24499999999999997</v>
      </c>
      <c r="I3" s="56">
        <f>0.05/50*35</f>
        <v>3.5000000000000003E-2</v>
      </c>
      <c r="J3" s="57">
        <f>0.95/50*35</f>
        <v>0.66500000000000004</v>
      </c>
    </row>
    <row r="4" spans="1:12" s="23" customFormat="1" x14ac:dyDescent="0.25">
      <c r="A4" s="102"/>
      <c r="B4" s="67" t="s">
        <v>13</v>
      </c>
      <c r="C4" s="68" t="s">
        <v>44</v>
      </c>
      <c r="D4" s="68" t="s">
        <v>45</v>
      </c>
      <c r="E4" s="69" t="s">
        <v>64</v>
      </c>
      <c r="F4" s="70">
        <v>40.21</v>
      </c>
      <c r="G4" s="71">
        <f>309*0.9</f>
        <v>278.10000000000002</v>
      </c>
      <c r="H4" s="71">
        <f>10.64*0.9</f>
        <v>9.5760000000000005</v>
      </c>
      <c r="I4" s="71">
        <f>28.19*0.9</f>
        <v>25.371000000000002</v>
      </c>
      <c r="J4" s="72">
        <f>2.89*0.9</f>
        <v>2.601</v>
      </c>
    </row>
    <row r="5" spans="1:12" x14ac:dyDescent="0.25">
      <c r="A5" s="102"/>
      <c r="B5" s="49" t="s">
        <v>17</v>
      </c>
      <c r="C5" s="47" t="s">
        <v>47</v>
      </c>
      <c r="D5" s="47" t="s">
        <v>48</v>
      </c>
      <c r="E5" s="58">
        <v>110</v>
      </c>
      <c r="F5" s="48">
        <v>11.03</v>
      </c>
      <c r="G5" s="29">
        <f>1625*0.11</f>
        <v>178.75</v>
      </c>
      <c r="H5" s="29">
        <f>57.32*0.11</f>
        <v>6.3052000000000001</v>
      </c>
      <c r="I5" s="29">
        <f>40.62*0.11</f>
        <v>4.4681999999999995</v>
      </c>
      <c r="J5" s="30">
        <f>257.61*0.11</f>
        <v>28.337100000000003</v>
      </c>
    </row>
    <row r="6" spans="1:12" s="32" customFormat="1" x14ac:dyDescent="0.25">
      <c r="A6" s="102"/>
      <c r="B6" s="49" t="s">
        <v>60</v>
      </c>
      <c r="C6" s="47" t="s">
        <v>36</v>
      </c>
      <c r="D6" s="47" t="s">
        <v>61</v>
      </c>
      <c r="E6" s="58">
        <v>200</v>
      </c>
      <c r="F6" s="48">
        <v>37.24</v>
      </c>
      <c r="G6" s="48">
        <v>160</v>
      </c>
      <c r="H6" s="48">
        <v>6.2</v>
      </c>
      <c r="I6" s="48">
        <v>5</v>
      </c>
      <c r="J6" s="50">
        <v>22</v>
      </c>
      <c r="K6"/>
    </row>
    <row r="7" spans="1:12" s="83" customFormat="1" x14ac:dyDescent="0.25">
      <c r="A7" s="102"/>
      <c r="B7" s="123" t="s">
        <v>21</v>
      </c>
      <c r="C7" s="124" t="s">
        <v>65</v>
      </c>
      <c r="D7" s="124" t="s">
        <v>66</v>
      </c>
      <c r="E7" s="125">
        <v>50</v>
      </c>
      <c r="F7" s="126">
        <v>4</v>
      </c>
      <c r="G7" s="126">
        <v>141.5</v>
      </c>
      <c r="H7" s="126">
        <v>3.95</v>
      </c>
      <c r="I7" s="126">
        <v>4.0599999999999996</v>
      </c>
      <c r="J7" s="127">
        <v>22.24</v>
      </c>
      <c r="K7" s="45"/>
    </row>
    <row r="8" spans="1:12" s="23" customFormat="1" ht="15.75" thickBot="1" x14ac:dyDescent="0.3">
      <c r="A8" s="102"/>
      <c r="B8" s="51" t="s">
        <v>14</v>
      </c>
      <c r="C8" s="52" t="s">
        <v>30</v>
      </c>
      <c r="D8" s="52" t="s">
        <v>31</v>
      </c>
      <c r="E8" s="59">
        <v>11.5</v>
      </c>
      <c r="F8" s="60">
        <v>0.45</v>
      </c>
      <c r="G8" s="60">
        <f>229.7*0.115</f>
        <v>26.415500000000002</v>
      </c>
      <c r="H8" s="53">
        <f>6.7*0.115</f>
        <v>0.77050000000000007</v>
      </c>
      <c r="I8" s="53">
        <f>1.1*0.115</f>
        <v>0.12650000000000003</v>
      </c>
      <c r="J8" s="54">
        <f>48.3*0.115</f>
        <v>5.5545</v>
      </c>
    </row>
    <row r="9" spans="1:12" ht="16.5" thickBot="1" x14ac:dyDescent="0.3">
      <c r="A9" s="93" t="s">
        <v>15</v>
      </c>
      <c r="B9" s="94"/>
      <c r="C9" s="94"/>
      <c r="D9" s="94"/>
      <c r="E9" s="95"/>
      <c r="F9" s="19">
        <f>SUM(F3:F8)</f>
        <v>97.15</v>
      </c>
      <c r="G9" s="19">
        <f>SUM(G3:G8)</f>
        <v>788.96549999999991</v>
      </c>
      <c r="H9" s="19">
        <f>SUM(H3:H8)</f>
        <v>27.046699999999998</v>
      </c>
      <c r="I9" s="19">
        <f>SUM(I3:I8)</f>
        <v>39.060700000000004</v>
      </c>
      <c r="J9" s="19">
        <f>SUM(J3:J8)</f>
        <v>81.397600000000011</v>
      </c>
    </row>
    <row r="10" spans="1:12" ht="30" x14ac:dyDescent="0.25">
      <c r="A10" s="96" t="s">
        <v>51</v>
      </c>
      <c r="B10" s="62" t="s">
        <v>16</v>
      </c>
      <c r="C10" s="63" t="s">
        <v>69</v>
      </c>
      <c r="D10" s="63" t="s">
        <v>70</v>
      </c>
      <c r="E10" s="55" t="s">
        <v>71</v>
      </c>
      <c r="F10" s="56">
        <v>12.46</v>
      </c>
      <c r="G10" s="56">
        <f>415*0.25+162*0.1</f>
        <v>119.95</v>
      </c>
      <c r="H10" s="56">
        <f>7.21*0.25+2.6*0.1</f>
        <v>2.0625</v>
      </c>
      <c r="I10" s="56">
        <f>19.68*0.25+15*0.1</f>
        <v>6.42</v>
      </c>
      <c r="J10" s="57">
        <f>43.73*0.25+3.6*0.1</f>
        <v>11.292499999999999</v>
      </c>
      <c r="K10"/>
    </row>
    <row r="11" spans="1:12" x14ac:dyDescent="0.25">
      <c r="A11" s="97"/>
      <c r="B11" s="8" t="s">
        <v>13</v>
      </c>
      <c r="C11" s="6" t="s">
        <v>41</v>
      </c>
      <c r="D11" s="6" t="s">
        <v>42</v>
      </c>
      <c r="E11" s="16">
        <v>30</v>
      </c>
      <c r="F11" s="7">
        <v>13.57</v>
      </c>
      <c r="G11" s="24">
        <f>161/50*30</f>
        <v>96.600000000000009</v>
      </c>
      <c r="H11" s="24">
        <f>7.61/50*30</f>
        <v>4.5659999999999998</v>
      </c>
      <c r="I11" s="24">
        <f>11.07/50*30</f>
        <v>6.6420000000000003</v>
      </c>
      <c r="J11" s="25">
        <f>7.66/50*30</f>
        <v>4.5960000000000001</v>
      </c>
      <c r="K11"/>
    </row>
    <row r="12" spans="1:12" s="23" customFormat="1" x14ac:dyDescent="0.25">
      <c r="A12" s="97"/>
      <c r="B12" s="8" t="s">
        <v>17</v>
      </c>
      <c r="C12" s="6" t="s">
        <v>34</v>
      </c>
      <c r="D12" s="6" t="s">
        <v>35</v>
      </c>
      <c r="E12" s="16">
        <v>130</v>
      </c>
      <c r="F12" s="7">
        <v>12.12</v>
      </c>
      <c r="G12" s="7">
        <f>1398*0.13</f>
        <v>181.74</v>
      </c>
      <c r="H12" s="7">
        <f>24.34*0.13</f>
        <v>3.1642000000000001</v>
      </c>
      <c r="I12" s="7">
        <f>35.83*0.13</f>
        <v>4.6578999999999997</v>
      </c>
      <c r="J12" s="9">
        <f>244.56*0.13</f>
        <v>31.7928</v>
      </c>
    </row>
    <row r="13" spans="1:12" x14ac:dyDescent="0.25">
      <c r="A13" s="97"/>
      <c r="B13" s="49" t="s">
        <v>18</v>
      </c>
      <c r="C13" s="47" t="s">
        <v>19</v>
      </c>
      <c r="D13" s="47" t="s">
        <v>20</v>
      </c>
      <c r="E13" s="58" t="s">
        <v>32</v>
      </c>
      <c r="F13" s="48">
        <v>2.31</v>
      </c>
      <c r="G13" s="48">
        <v>60</v>
      </c>
      <c r="H13" s="48">
        <v>7.0000000000000007E-2</v>
      </c>
      <c r="I13" s="48">
        <v>0.02</v>
      </c>
      <c r="J13" s="50">
        <v>15</v>
      </c>
      <c r="K13"/>
    </row>
    <row r="14" spans="1:12" ht="15.75" thickBot="1" x14ac:dyDescent="0.3">
      <c r="A14" s="97"/>
      <c r="B14" s="10" t="s">
        <v>14</v>
      </c>
      <c r="C14" s="52" t="s">
        <v>30</v>
      </c>
      <c r="D14" s="52" t="s">
        <v>31</v>
      </c>
      <c r="E14" s="17">
        <v>47.5</v>
      </c>
      <c r="F14" s="18">
        <v>1.83</v>
      </c>
      <c r="G14" s="18">
        <f>280*0.475</f>
        <v>133</v>
      </c>
      <c r="H14" s="12">
        <f>8*0.475</f>
        <v>3.8</v>
      </c>
      <c r="I14" s="12">
        <f>3*0.475</f>
        <v>1.4249999999999998</v>
      </c>
      <c r="J14" s="13">
        <f>54*0.475</f>
        <v>25.65</v>
      </c>
    </row>
    <row r="15" spans="1:12" ht="16.5" thickBot="1" x14ac:dyDescent="0.3">
      <c r="A15" s="98" t="s">
        <v>15</v>
      </c>
      <c r="B15" s="99"/>
      <c r="C15" s="99"/>
      <c r="D15" s="99"/>
      <c r="E15" s="100"/>
      <c r="F15" s="27">
        <f>SUM(F10:F14)</f>
        <v>42.29</v>
      </c>
      <c r="G15" s="27">
        <f t="shared" ref="G15:J15" si="0">SUM(G10:G14)</f>
        <v>591.29</v>
      </c>
      <c r="H15" s="27">
        <f>SUM(H10:H14)</f>
        <v>13.662700000000001</v>
      </c>
      <c r="I15" s="27">
        <f t="shared" si="0"/>
        <v>19.164900000000003</v>
      </c>
      <c r="J15" s="27">
        <f t="shared" si="0"/>
        <v>88.331299999999999</v>
      </c>
    </row>
    <row r="16" spans="1:12" s="23" customFormat="1" ht="15.75" x14ac:dyDescent="0.25">
      <c r="A16" s="106" t="s">
        <v>27</v>
      </c>
      <c r="B16" s="74" t="s">
        <v>29</v>
      </c>
      <c r="C16" s="73" t="s">
        <v>62</v>
      </c>
      <c r="D16" s="73" t="s">
        <v>63</v>
      </c>
      <c r="E16" s="31" t="s">
        <v>72</v>
      </c>
      <c r="F16" s="56">
        <v>46.16</v>
      </c>
      <c r="G16" s="56">
        <f>202*0.14+280*0.2</f>
        <v>84.28</v>
      </c>
      <c r="H16" s="56">
        <f>22.5*0.14+8*0.2</f>
        <v>4.75</v>
      </c>
      <c r="I16" s="56">
        <f>12.5*0.14+3*0.2</f>
        <v>2.3500000000000005</v>
      </c>
      <c r="J16" s="57">
        <f>0+54*0.2</f>
        <v>10.8</v>
      </c>
    </row>
    <row r="17" spans="1:11" s="28" customFormat="1" ht="30" x14ac:dyDescent="0.25">
      <c r="A17" s="102"/>
      <c r="B17" s="49" t="s">
        <v>16</v>
      </c>
      <c r="C17" s="47" t="s">
        <v>69</v>
      </c>
      <c r="D17" s="47" t="s">
        <v>70</v>
      </c>
      <c r="E17" s="58" t="s">
        <v>71</v>
      </c>
      <c r="F17" s="48">
        <v>12.46</v>
      </c>
      <c r="G17" s="48">
        <f>415*0.25+162*0.1</f>
        <v>119.95</v>
      </c>
      <c r="H17" s="48">
        <f>7.21*0.25+2.6*0.1</f>
        <v>2.0625</v>
      </c>
      <c r="I17" s="48">
        <f>19.68*0.25+15*0.1</f>
        <v>6.42</v>
      </c>
      <c r="J17" s="50">
        <f>43.73*0.25+3.6*0.1</f>
        <v>11.292499999999999</v>
      </c>
      <c r="K17"/>
    </row>
    <row r="18" spans="1:11" s="23" customFormat="1" x14ac:dyDescent="0.25">
      <c r="A18" s="102"/>
      <c r="B18" s="49" t="s">
        <v>13</v>
      </c>
      <c r="C18" s="47" t="s">
        <v>41</v>
      </c>
      <c r="D18" s="47" t="s">
        <v>42</v>
      </c>
      <c r="E18" s="58">
        <v>50</v>
      </c>
      <c r="F18" s="48">
        <v>22.61</v>
      </c>
      <c r="G18" s="64">
        <f>161/50*50</f>
        <v>161</v>
      </c>
      <c r="H18" s="64">
        <f>7.61/50*50</f>
        <v>7.61</v>
      </c>
      <c r="I18" s="64">
        <f>11.07/50*50</f>
        <v>11.07</v>
      </c>
      <c r="J18" s="65">
        <f>7.66/50*50</f>
        <v>7.66</v>
      </c>
      <c r="K18"/>
    </row>
    <row r="19" spans="1:11" s="34" customFormat="1" x14ac:dyDescent="0.25">
      <c r="A19" s="102"/>
      <c r="B19" s="49" t="s">
        <v>17</v>
      </c>
      <c r="C19" s="47" t="s">
        <v>34</v>
      </c>
      <c r="D19" s="47" t="s">
        <v>35</v>
      </c>
      <c r="E19" s="58">
        <v>130</v>
      </c>
      <c r="F19" s="48">
        <v>12.12</v>
      </c>
      <c r="G19" s="48">
        <f>1398*0.13</f>
        <v>181.74</v>
      </c>
      <c r="H19" s="48">
        <f>24.34*0.13</f>
        <v>3.1642000000000001</v>
      </c>
      <c r="I19" s="48">
        <f>35.83*0.13</f>
        <v>4.6578999999999997</v>
      </c>
      <c r="J19" s="50">
        <f>244.56*0.13</f>
        <v>31.7928</v>
      </c>
    </row>
    <row r="20" spans="1:11" s="26" customFormat="1" x14ac:dyDescent="0.25">
      <c r="A20" s="102"/>
      <c r="B20" s="49" t="s">
        <v>18</v>
      </c>
      <c r="C20" s="47" t="s">
        <v>19</v>
      </c>
      <c r="D20" s="47" t="s">
        <v>20</v>
      </c>
      <c r="E20" s="58" t="s">
        <v>32</v>
      </c>
      <c r="F20" s="48">
        <v>2.31</v>
      </c>
      <c r="G20" s="48">
        <v>60</v>
      </c>
      <c r="H20" s="48">
        <v>7.0000000000000007E-2</v>
      </c>
      <c r="I20" s="48">
        <v>0.02</v>
      </c>
      <c r="J20" s="50">
        <v>15</v>
      </c>
      <c r="K20"/>
    </row>
    <row r="21" spans="1:11" s="34" customFormat="1" ht="15.75" thickBot="1" x14ac:dyDescent="0.3">
      <c r="A21" s="107"/>
      <c r="B21" s="51" t="s">
        <v>14</v>
      </c>
      <c r="C21" s="52" t="s">
        <v>30</v>
      </c>
      <c r="D21" s="52" t="s">
        <v>31</v>
      </c>
      <c r="E21" s="59">
        <v>45.5</v>
      </c>
      <c r="F21" s="60">
        <v>1.49</v>
      </c>
      <c r="G21" s="60">
        <f>229.7*0.455</f>
        <v>104.51349999999999</v>
      </c>
      <c r="H21" s="53">
        <f>6.7*0.455</f>
        <v>3.0485000000000002</v>
      </c>
      <c r="I21" s="53">
        <f>1.1*0.455</f>
        <v>0.50050000000000006</v>
      </c>
      <c r="J21" s="54">
        <f>48.3*0.455</f>
        <v>21.976499999999998</v>
      </c>
    </row>
    <row r="22" spans="1:11" ht="16.5" thickBot="1" x14ac:dyDescent="0.3">
      <c r="A22" s="93" t="s">
        <v>15</v>
      </c>
      <c r="B22" s="94"/>
      <c r="C22" s="94"/>
      <c r="D22" s="94"/>
      <c r="E22" s="95"/>
      <c r="F22" s="19">
        <f>SUM(F16:F21)</f>
        <v>97.149999999999991</v>
      </c>
      <c r="G22" s="19">
        <f>SUM(G16:G21)</f>
        <v>711.48350000000005</v>
      </c>
      <c r="H22" s="19">
        <f>SUM(H16:H21)</f>
        <v>20.705200000000001</v>
      </c>
      <c r="I22" s="19">
        <f>SUM(I16:I21)</f>
        <v>25.0184</v>
      </c>
      <c r="J22" s="19">
        <f>SUM(J16:J21)</f>
        <v>98.521799999999999</v>
      </c>
      <c r="K22"/>
    </row>
    <row r="23" spans="1:11" s="26" customFormat="1" x14ac:dyDescent="0.25">
      <c r="A23" s="96" t="s">
        <v>28</v>
      </c>
      <c r="B23" s="20" t="s">
        <v>29</v>
      </c>
      <c r="C23" s="21" t="s">
        <v>49</v>
      </c>
      <c r="D23" s="21" t="s">
        <v>50</v>
      </c>
      <c r="E23" s="31" t="s">
        <v>67</v>
      </c>
      <c r="F23" s="14">
        <v>27.54</v>
      </c>
      <c r="G23" s="14">
        <f>364*0.2+66*0.3+280*0.25</f>
        <v>162.6</v>
      </c>
      <c r="H23" s="14">
        <f>23.2*0.2+0.08*0.3+8*0.25</f>
        <v>6.6639999999999997</v>
      </c>
      <c r="I23" s="14">
        <f>29.5*0.2+7.25*0.3+3*0.25</f>
        <v>8.8249999999999993</v>
      </c>
      <c r="J23" s="15">
        <f>0+0.13*0.3+54*0.25</f>
        <v>13.539</v>
      </c>
    </row>
    <row r="24" spans="1:11" s="44" customFormat="1" x14ac:dyDescent="0.25">
      <c r="A24" s="97"/>
      <c r="B24" s="49" t="s">
        <v>18</v>
      </c>
      <c r="C24" s="47" t="s">
        <v>19</v>
      </c>
      <c r="D24" s="47" t="s">
        <v>20</v>
      </c>
      <c r="E24" s="58" t="s">
        <v>32</v>
      </c>
      <c r="F24" s="48">
        <v>2.31</v>
      </c>
      <c r="G24" s="48">
        <v>60</v>
      </c>
      <c r="H24" s="48">
        <v>7.0000000000000007E-2</v>
      </c>
      <c r="I24" s="48">
        <v>0.02</v>
      </c>
      <c r="J24" s="50">
        <v>15</v>
      </c>
    </row>
    <row r="25" spans="1:11" s="26" customFormat="1" ht="15.75" thickBot="1" x14ac:dyDescent="0.3">
      <c r="A25" s="103"/>
      <c r="B25" s="10" t="s">
        <v>33</v>
      </c>
      <c r="C25" s="11" t="s">
        <v>46</v>
      </c>
      <c r="D25" s="11" t="s">
        <v>73</v>
      </c>
      <c r="E25" s="17">
        <v>95</v>
      </c>
      <c r="F25" s="18">
        <v>12.44</v>
      </c>
      <c r="G25" s="18">
        <f>47*0.95</f>
        <v>44.65</v>
      </c>
      <c r="H25" s="12">
        <f>0.4*0.95</f>
        <v>0.38</v>
      </c>
      <c r="I25" s="12">
        <f>0.4*0.95</f>
        <v>0.38</v>
      </c>
      <c r="J25" s="13">
        <f>9.8*0.95</f>
        <v>9.31</v>
      </c>
    </row>
    <row r="26" spans="1:11" ht="16.5" thickBot="1" x14ac:dyDescent="0.3">
      <c r="A26" s="93" t="s">
        <v>15</v>
      </c>
      <c r="B26" s="104"/>
      <c r="C26" s="104"/>
      <c r="D26" s="104"/>
      <c r="E26" s="105"/>
      <c r="F26" s="3">
        <f>SUM(F23:F25)</f>
        <v>42.29</v>
      </c>
      <c r="G26" s="3">
        <f>SUM(G23:G25)</f>
        <v>267.25</v>
      </c>
      <c r="H26" s="3">
        <f>SUM(H23:H25)</f>
        <v>7.1139999999999999</v>
      </c>
      <c r="I26" s="3">
        <f>SUM(I23:I25)</f>
        <v>9.2249999999999996</v>
      </c>
      <c r="J26" s="3">
        <f>SUM(J23:J25)</f>
        <v>37.849000000000004</v>
      </c>
      <c r="K26"/>
    </row>
    <row r="28" spans="1:11" ht="15.75" thickBot="1" x14ac:dyDescent="0.3">
      <c r="A28" s="91" t="s">
        <v>25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1" ht="15.75" x14ac:dyDescent="0.25">
      <c r="A29" s="22"/>
      <c r="B29" s="22"/>
      <c r="C29" s="90" t="s">
        <v>23</v>
      </c>
      <c r="D29" s="90"/>
      <c r="G29" s="92"/>
      <c r="H29" s="92"/>
      <c r="I29" s="92"/>
      <c r="J29" s="92"/>
    </row>
    <row r="30" spans="1:11" x14ac:dyDescent="0.25">
      <c r="A30" s="1"/>
      <c r="B30" s="1"/>
      <c r="C30" s="1"/>
      <c r="D30" s="1"/>
    </row>
    <row r="31" spans="1:11" x14ac:dyDescent="0.25">
      <c r="A31" s="101" t="s">
        <v>24</v>
      </c>
      <c r="B31" s="101"/>
    </row>
    <row r="32" spans="1:11" x14ac:dyDescent="0.25">
      <c r="A32" s="101" t="s">
        <v>26</v>
      </c>
      <c r="B32" s="101"/>
    </row>
    <row r="33" spans="1:1" x14ac:dyDescent="0.25">
      <c r="A33" s="4"/>
    </row>
  </sheetData>
  <mergeCells count="15">
    <mergeCell ref="A31:B31"/>
    <mergeCell ref="A32:B32"/>
    <mergeCell ref="A3:A8"/>
    <mergeCell ref="A23:A25"/>
    <mergeCell ref="A26:E26"/>
    <mergeCell ref="A16:A21"/>
    <mergeCell ref="B1:C1"/>
    <mergeCell ref="G1:J1"/>
    <mergeCell ref="C29:D29"/>
    <mergeCell ref="A28:J28"/>
    <mergeCell ref="G29:J29"/>
    <mergeCell ref="A9:E9"/>
    <mergeCell ref="A10:A14"/>
    <mergeCell ref="A15:E15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9" workbookViewId="0">
      <selection activeCell="F30" sqref="F30:J30"/>
    </sheetView>
  </sheetViews>
  <sheetFormatPr defaultRowHeight="15" x14ac:dyDescent="0.25"/>
  <cols>
    <col min="1" max="1" width="24" style="79" customWidth="1"/>
    <col min="2" max="2" width="22.7109375" style="34" customWidth="1"/>
    <col min="3" max="3" width="12.28515625" style="34" customWidth="1"/>
    <col min="4" max="4" width="46.28515625" style="34" customWidth="1"/>
    <col min="5" max="5" width="10.140625" style="34" bestFit="1" customWidth="1"/>
    <col min="6" max="6" width="9.140625" style="34"/>
    <col min="7" max="7" width="18.140625" style="34" customWidth="1"/>
    <col min="8" max="8" width="11.42578125" style="34" bestFit="1" customWidth="1"/>
    <col min="9" max="9" width="9.140625" style="34"/>
    <col min="10" max="10" width="10.85546875" style="34" customWidth="1"/>
    <col min="11" max="16384" width="9.140625" style="34"/>
  </cols>
  <sheetData>
    <row r="1" spans="1:12" ht="15.75" thickBot="1" x14ac:dyDescent="0.3">
      <c r="A1" s="75" t="s">
        <v>0</v>
      </c>
      <c r="B1" s="85" t="s">
        <v>22</v>
      </c>
      <c r="C1" s="86"/>
      <c r="D1" s="1" t="s">
        <v>1</v>
      </c>
      <c r="E1" s="37"/>
      <c r="F1" s="1" t="s">
        <v>2</v>
      </c>
      <c r="G1" s="87">
        <v>44855</v>
      </c>
      <c r="H1" s="88"/>
      <c r="I1" s="88"/>
      <c r="J1" s="89"/>
      <c r="K1" s="1"/>
      <c r="L1" s="1"/>
    </row>
    <row r="2" spans="1:12" ht="15.75" thickBot="1" x14ac:dyDescent="0.3">
      <c r="A2" s="76" t="s">
        <v>3</v>
      </c>
      <c r="B2" s="5" t="s">
        <v>4</v>
      </c>
      <c r="C2" s="33" t="s">
        <v>5</v>
      </c>
      <c r="D2" s="42" t="s">
        <v>6</v>
      </c>
      <c r="E2" s="42" t="s">
        <v>7</v>
      </c>
      <c r="F2" s="42" t="s">
        <v>8</v>
      </c>
      <c r="G2" s="43" t="s">
        <v>9</v>
      </c>
      <c r="H2" s="5" t="s">
        <v>10</v>
      </c>
      <c r="I2" s="5" t="s">
        <v>11</v>
      </c>
      <c r="J2" s="39" t="s">
        <v>12</v>
      </c>
    </row>
    <row r="3" spans="1:12" x14ac:dyDescent="0.25">
      <c r="A3" s="108" t="s">
        <v>57</v>
      </c>
      <c r="B3" s="41" t="s">
        <v>29</v>
      </c>
      <c r="C3" s="73" t="s">
        <v>74</v>
      </c>
      <c r="D3" s="73" t="s">
        <v>75</v>
      </c>
      <c r="E3" s="55">
        <v>18</v>
      </c>
      <c r="F3" s="55">
        <v>18.32</v>
      </c>
      <c r="G3" s="56">
        <f>3.64*18</f>
        <v>65.52</v>
      </c>
      <c r="H3" s="56">
        <f>23.2*0.18</f>
        <v>4.1760000000000002</v>
      </c>
      <c r="I3" s="56">
        <f>29.5*0.18</f>
        <v>5.31</v>
      </c>
      <c r="J3" s="57">
        <f>0</f>
        <v>0</v>
      </c>
    </row>
    <row r="4" spans="1:12" s="83" customFormat="1" x14ac:dyDescent="0.25">
      <c r="A4" s="109"/>
      <c r="B4" s="128" t="s">
        <v>29</v>
      </c>
      <c r="C4" s="84" t="s">
        <v>40</v>
      </c>
      <c r="D4" s="84" t="s">
        <v>43</v>
      </c>
      <c r="E4" s="58">
        <v>35</v>
      </c>
      <c r="F4" s="58">
        <v>4.22</v>
      </c>
      <c r="G4" s="48">
        <f>6/50*35</f>
        <v>4.2</v>
      </c>
      <c r="H4" s="48">
        <f>0.35/50*35</f>
        <v>0.24499999999999997</v>
      </c>
      <c r="I4" s="48">
        <f>0.05/50*35</f>
        <v>3.5000000000000003E-2</v>
      </c>
      <c r="J4" s="50">
        <f>0.95/50*35</f>
        <v>0.66500000000000004</v>
      </c>
    </row>
    <row r="5" spans="1:12" s="46" customFormat="1" x14ac:dyDescent="0.25">
      <c r="A5" s="109"/>
      <c r="B5" s="49" t="s">
        <v>13</v>
      </c>
      <c r="C5" s="47" t="s">
        <v>44</v>
      </c>
      <c r="D5" s="47" t="s">
        <v>45</v>
      </c>
      <c r="E5" s="58" t="s">
        <v>59</v>
      </c>
      <c r="F5" s="48">
        <v>35.74</v>
      </c>
      <c r="G5" s="64">
        <f>309*0.8</f>
        <v>247.20000000000002</v>
      </c>
      <c r="H5" s="64">
        <f>10.64*0.8</f>
        <v>8.5120000000000005</v>
      </c>
      <c r="I5" s="64">
        <f>28.19*0.8</f>
        <v>22.552000000000003</v>
      </c>
      <c r="J5" s="65">
        <f>2.89*0.8</f>
        <v>2.3120000000000003</v>
      </c>
    </row>
    <row r="6" spans="1:12" x14ac:dyDescent="0.25">
      <c r="A6" s="109"/>
      <c r="B6" s="49" t="s">
        <v>17</v>
      </c>
      <c r="C6" s="47" t="s">
        <v>47</v>
      </c>
      <c r="D6" s="47" t="s">
        <v>48</v>
      </c>
      <c r="E6" s="58">
        <v>110</v>
      </c>
      <c r="F6" s="48">
        <v>11.03</v>
      </c>
      <c r="G6" s="29">
        <f>1625*0.11</f>
        <v>178.75</v>
      </c>
      <c r="H6" s="29">
        <f>57.32*0.11</f>
        <v>6.3052000000000001</v>
      </c>
      <c r="I6" s="29">
        <f>40.62*0.11</f>
        <v>4.4681999999999995</v>
      </c>
      <c r="J6" s="30">
        <f>257.61*0.11</f>
        <v>28.337100000000003</v>
      </c>
    </row>
    <row r="7" spans="1:12" x14ac:dyDescent="0.25">
      <c r="A7" s="109"/>
      <c r="B7" s="49" t="s">
        <v>18</v>
      </c>
      <c r="C7" s="47" t="s">
        <v>19</v>
      </c>
      <c r="D7" s="47" t="s">
        <v>20</v>
      </c>
      <c r="E7" s="58" t="s">
        <v>32</v>
      </c>
      <c r="F7" s="48">
        <v>2.31</v>
      </c>
      <c r="G7" s="48">
        <v>60</v>
      </c>
      <c r="H7" s="48">
        <v>7.0000000000000007E-2</v>
      </c>
      <c r="I7" s="48">
        <v>0.02</v>
      </c>
      <c r="J7" s="50">
        <v>15</v>
      </c>
    </row>
    <row r="8" spans="1:12" x14ac:dyDescent="0.25">
      <c r="A8" s="109"/>
      <c r="B8" s="49" t="s">
        <v>21</v>
      </c>
      <c r="C8" s="47" t="s">
        <v>65</v>
      </c>
      <c r="D8" s="47" t="s">
        <v>66</v>
      </c>
      <c r="E8" s="58">
        <v>50</v>
      </c>
      <c r="F8" s="48">
        <v>4</v>
      </c>
      <c r="G8" s="48">
        <v>141.5</v>
      </c>
      <c r="H8" s="48">
        <v>3.95</v>
      </c>
      <c r="I8" s="48">
        <v>4.0599999999999996</v>
      </c>
      <c r="J8" s="50">
        <v>22.24</v>
      </c>
      <c r="K8"/>
    </row>
    <row r="9" spans="1:12" ht="15.75" thickBot="1" x14ac:dyDescent="0.3">
      <c r="A9" s="118"/>
      <c r="B9" s="51" t="s">
        <v>14</v>
      </c>
      <c r="C9" s="52" t="s">
        <v>30</v>
      </c>
      <c r="D9" s="52" t="s">
        <v>31</v>
      </c>
      <c r="E9" s="59">
        <v>35.5</v>
      </c>
      <c r="F9" s="60">
        <v>1.38</v>
      </c>
      <c r="G9" s="60">
        <f>229.7*0.355</f>
        <v>81.543499999999995</v>
      </c>
      <c r="H9" s="53">
        <f>6.7*0.355</f>
        <v>2.3784999999999998</v>
      </c>
      <c r="I9" s="53">
        <f>1.1*0.355</f>
        <v>0.39050000000000001</v>
      </c>
      <c r="J9" s="54">
        <f>48.3*0.355</f>
        <v>17.1465</v>
      </c>
    </row>
    <row r="10" spans="1:12" ht="16.5" thickBot="1" x14ac:dyDescent="0.3">
      <c r="A10" s="93" t="s">
        <v>15</v>
      </c>
      <c r="B10" s="94"/>
      <c r="C10" s="94"/>
      <c r="D10" s="94"/>
      <c r="E10" s="95"/>
      <c r="F10" s="19">
        <f>SUM(F3:F9)</f>
        <v>77</v>
      </c>
      <c r="G10" s="19">
        <f>SUM(G3:G9)</f>
        <v>778.71350000000007</v>
      </c>
      <c r="H10" s="19">
        <f>SUM(H3:H9)</f>
        <v>25.636699999999998</v>
      </c>
      <c r="I10" s="19">
        <f>SUM(I3:I9)</f>
        <v>36.83570000000001</v>
      </c>
      <c r="J10" s="19">
        <f>SUM(J3:J9)</f>
        <v>85.700600000000009</v>
      </c>
    </row>
    <row r="11" spans="1:12" s="35" customFormat="1" ht="15.75" customHeight="1" x14ac:dyDescent="0.25">
      <c r="A11" s="119" t="s">
        <v>37</v>
      </c>
      <c r="B11" s="62" t="s">
        <v>13</v>
      </c>
      <c r="C11" s="63" t="s">
        <v>53</v>
      </c>
      <c r="D11" s="63" t="s">
        <v>54</v>
      </c>
      <c r="E11" s="55" t="s">
        <v>76</v>
      </c>
      <c r="F11" s="56">
        <v>22.75</v>
      </c>
      <c r="G11" s="80">
        <f>1625*0.13+66*0.8+40*0.8</f>
        <v>296.05</v>
      </c>
      <c r="H11" s="80">
        <f>57.32*0.13+0.08*0.8+0</f>
        <v>7.5156000000000001</v>
      </c>
      <c r="I11" s="80">
        <f>40.62*0.13+7.25*0.8+0</f>
        <v>11.0806</v>
      </c>
      <c r="J11" s="81">
        <f>257.61*0.13+0.13*0.8+9.98*0.8</f>
        <v>41.577300000000001</v>
      </c>
    </row>
    <row r="12" spans="1:12" x14ac:dyDescent="0.25">
      <c r="A12" s="120"/>
      <c r="B12" s="49" t="s">
        <v>18</v>
      </c>
      <c r="C12" s="47" t="s">
        <v>19</v>
      </c>
      <c r="D12" s="47" t="s">
        <v>20</v>
      </c>
      <c r="E12" s="58" t="s">
        <v>32</v>
      </c>
      <c r="F12" s="48">
        <v>2.31</v>
      </c>
      <c r="G12" s="48">
        <v>60</v>
      </c>
      <c r="H12" s="48">
        <v>7.0000000000000007E-2</v>
      </c>
      <c r="I12" s="48">
        <v>0.02</v>
      </c>
      <c r="J12" s="50">
        <v>15</v>
      </c>
      <c r="K12"/>
    </row>
    <row r="13" spans="1:12" ht="15.75" thickBot="1" x14ac:dyDescent="0.3">
      <c r="A13" s="120"/>
      <c r="B13" s="51" t="s">
        <v>14</v>
      </c>
      <c r="C13" s="52" t="s">
        <v>30</v>
      </c>
      <c r="D13" s="52" t="s">
        <v>31</v>
      </c>
      <c r="E13" s="59">
        <v>50</v>
      </c>
      <c r="F13" s="60">
        <v>1.94</v>
      </c>
      <c r="G13" s="60">
        <f>229.7*0.5</f>
        <v>114.85</v>
      </c>
      <c r="H13" s="53">
        <f>6.7*0.5</f>
        <v>3.35</v>
      </c>
      <c r="I13" s="53">
        <f>1.1*0.5</f>
        <v>0.55000000000000004</v>
      </c>
      <c r="J13" s="54">
        <f>48.3*0.5</f>
        <v>24.15</v>
      </c>
    </row>
    <row r="14" spans="1:12" ht="16.5" thickBot="1" x14ac:dyDescent="0.3">
      <c r="A14" s="111" t="s">
        <v>15</v>
      </c>
      <c r="B14" s="94"/>
      <c r="C14" s="94"/>
      <c r="D14" s="94"/>
      <c r="E14" s="95"/>
      <c r="F14" s="19">
        <f>SUM(F11:F13)</f>
        <v>27</v>
      </c>
      <c r="G14" s="19">
        <f>SUM(G11:G13)</f>
        <v>470.9</v>
      </c>
      <c r="H14" s="19">
        <f>SUM(H11:H13)</f>
        <v>10.935600000000001</v>
      </c>
      <c r="I14" s="19">
        <f>SUM(I11:I13)</f>
        <v>11.650600000000001</v>
      </c>
      <c r="J14" s="19">
        <f>SUM(J11:J13)</f>
        <v>80.7273</v>
      </c>
    </row>
    <row r="15" spans="1:12" s="35" customFormat="1" ht="31.5" customHeight="1" x14ac:dyDescent="0.25">
      <c r="A15" s="113" t="s">
        <v>38</v>
      </c>
      <c r="B15" s="62" t="s">
        <v>29</v>
      </c>
      <c r="C15" s="63" t="s">
        <v>55</v>
      </c>
      <c r="D15" s="63" t="s">
        <v>56</v>
      </c>
      <c r="E15" s="55" t="s">
        <v>68</v>
      </c>
      <c r="F15" s="56">
        <v>4.6900000000000004</v>
      </c>
      <c r="G15" s="56">
        <f>250*0.15+229.7*0.2</f>
        <v>83.44</v>
      </c>
      <c r="H15" s="56">
        <f>0.4*0.15+6.7*0.2</f>
        <v>1.4000000000000001</v>
      </c>
      <c r="I15" s="56">
        <f>0+1.1*0.2</f>
        <v>0.22000000000000003</v>
      </c>
      <c r="J15" s="57">
        <f>65*0.15+48.3*0.2</f>
        <v>19.41</v>
      </c>
      <c r="K15"/>
    </row>
    <row r="16" spans="1:12" s="40" customFormat="1" ht="30.75" customHeight="1" thickBot="1" x14ac:dyDescent="0.3">
      <c r="A16" s="114"/>
      <c r="B16" s="51" t="s">
        <v>18</v>
      </c>
      <c r="C16" s="52" t="s">
        <v>19</v>
      </c>
      <c r="D16" s="52" t="s">
        <v>20</v>
      </c>
      <c r="E16" s="59" t="s">
        <v>32</v>
      </c>
      <c r="F16" s="60">
        <v>2.31</v>
      </c>
      <c r="G16" s="60">
        <v>60</v>
      </c>
      <c r="H16" s="60">
        <v>7.0000000000000007E-2</v>
      </c>
      <c r="I16" s="60">
        <v>0.02</v>
      </c>
      <c r="J16" s="66">
        <v>15</v>
      </c>
      <c r="K16"/>
    </row>
    <row r="17" spans="1:11" s="35" customFormat="1" ht="16.5" thickBot="1" x14ac:dyDescent="0.3">
      <c r="A17" s="112" t="s">
        <v>15</v>
      </c>
      <c r="B17" s="94"/>
      <c r="C17" s="94"/>
      <c r="D17" s="94"/>
      <c r="E17" s="95"/>
      <c r="F17" s="19">
        <f>SUM(F15:F16)</f>
        <v>7</v>
      </c>
      <c r="G17" s="19">
        <f>SUM(G15:G16)</f>
        <v>143.44</v>
      </c>
      <c r="H17" s="19">
        <f>SUM(H15:H16)</f>
        <v>1.4700000000000002</v>
      </c>
      <c r="I17" s="19">
        <f>SUM(I15:I16)</f>
        <v>0.24000000000000002</v>
      </c>
      <c r="J17" s="19">
        <f>SUM(J15:J16)</f>
        <v>34.409999999999997</v>
      </c>
    </row>
    <row r="18" spans="1:11" s="46" customFormat="1" ht="30" x14ac:dyDescent="0.25">
      <c r="A18" s="115" t="s">
        <v>39</v>
      </c>
      <c r="B18" s="62" t="s">
        <v>16</v>
      </c>
      <c r="C18" s="63" t="s">
        <v>69</v>
      </c>
      <c r="D18" s="63" t="s">
        <v>70</v>
      </c>
      <c r="E18" s="55" t="s">
        <v>71</v>
      </c>
      <c r="F18" s="56">
        <v>12.46</v>
      </c>
      <c r="G18" s="56">
        <f>415*0.25+162*0.1</f>
        <v>119.95</v>
      </c>
      <c r="H18" s="56">
        <f>7.21*0.25+2.6*0.1</f>
        <v>2.0625</v>
      </c>
      <c r="I18" s="56">
        <f>19.68*0.25+15*0.1</f>
        <v>6.42</v>
      </c>
      <c r="J18" s="57">
        <f>43.73*0.25+3.6*0.1</f>
        <v>11.292499999999999</v>
      </c>
      <c r="K18" s="45"/>
    </row>
    <row r="19" spans="1:11" s="35" customFormat="1" x14ac:dyDescent="0.25">
      <c r="A19" s="116"/>
      <c r="B19" s="49" t="s">
        <v>13</v>
      </c>
      <c r="C19" s="47" t="s">
        <v>41</v>
      </c>
      <c r="D19" s="47" t="s">
        <v>42</v>
      </c>
      <c r="E19" s="58">
        <v>35</v>
      </c>
      <c r="F19" s="48">
        <v>15.83</v>
      </c>
      <c r="G19" s="64">
        <f>161/50*35</f>
        <v>112.7</v>
      </c>
      <c r="H19" s="64">
        <f>7.61/50*35</f>
        <v>5.327</v>
      </c>
      <c r="I19" s="64">
        <f>11.07/50*35</f>
        <v>7.7490000000000006</v>
      </c>
      <c r="J19" s="65">
        <f>7.66/50*35</f>
        <v>5.3620000000000001</v>
      </c>
      <c r="K19"/>
    </row>
    <row r="20" spans="1:11" s="35" customFormat="1" x14ac:dyDescent="0.25">
      <c r="A20" s="116"/>
      <c r="B20" s="49" t="s">
        <v>17</v>
      </c>
      <c r="C20" s="47" t="s">
        <v>34</v>
      </c>
      <c r="D20" s="47" t="s">
        <v>35</v>
      </c>
      <c r="E20" s="58">
        <v>140</v>
      </c>
      <c r="F20" s="48">
        <v>13.05</v>
      </c>
      <c r="G20" s="48">
        <f>1398*0.14</f>
        <v>195.72000000000003</v>
      </c>
      <c r="H20" s="48">
        <f>24.34*0.14</f>
        <v>3.4076000000000004</v>
      </c>
      <c r="I20" s="48">
        <f>35.83*0.14</f>
        <v>5.0162000000000004</v>
      </c>
      <c r="J20" s="50">
        <f>244.56*0.14</f>
        <v>34.238400000000006</v>
      </c>
    </row>
    <row r="21" spans="1:11" s="35" customFormat="1" x14ac:dyDescent="0.25">
      <c r="A21" s="116"/>
      <c r="B21" s="49" t="s">
        <v>18</v>
      </c>
      <c r="C21" s="47" t="s">
        <v>19</v>
      </c>
      <c r="D21" s="47" t="s">
        <v>20</v>
      </c>
      <c r="E21" s="58" t="s">
        <v>32</v>
      </c>
      <c r="F21" s="48">
        <v>2.31</v>
      </c>
      <c r="G21" s="48">
        <v>60</v>
      </c>
      <c r="H21" s="48">
        <v>7.0000000000000007E-2</v>
      </c>
      <c r="I21" s="48">
        <v>0.02</v>
      </c>
      <c r="J21" s="50">
        <v>15</v>
      </c>
      <c r="K21"/>
    </row>
    <row r="22" spans="1:11" s="35" customFormat="1" ht="15.75" thickBot="1" x14ac:dyDescent="0.3">
      <c r="A22" s="117"/>
      <c r="B22" s="51" t="s">
        <v>14</v>
      </c>
      <c r="C22" s="52" t="s">
        <v>30</v>
      </c>
      <c r="D22" s="52" t="s">
        <v>31</v>
      </c>
      <c r="E22" s="59">
        <v>35</v>
      </c>
      <c r="F22" s="60">
        <v>1.35</v>
      </c>
      <c r="G22" s="60">
        <f>229.7*0.35</f>
        <v>80.394999999999996</v>
      </c>
      <c r="H22" s="53">
        <f>6.7*0.35</f>
        <v>2.3449999999999998</v>
      </c>
      <c r="I22" s="53">
        <f>1.1*0.35</f>
        <v>0.38500000000000001</v>
      </c>
      <c r="J22" s="54">
        <f>48.3*0.35</f>
        <v>16.904999999999998</v>
      </c>
    </row>
    <row r="23" spans="1:11" s="35" customFormat="1" ht="16.5" thickBot="1" x14ac:dyDescent="0.3">
      <c r="A23" s="98" t="s">
        <v>15</v>
      </c>
      <c r="B23" s="94"/>
      <c r="C23" s="94"/>
      <c r="D23" s="94"/>
      <c r="E23" s="95"/>
      <c r="F23" s="61">
        <f>SUM(F18:F22)</f>
        <v>45.000000000000007</v>
      </c>
      <c r="G23" s="61">
        <f t="shared" ref="G23:J23" si="0">SUM(G18:G22)</f>
        <v>568.76499999999999</v>
      </c>
      <c r="H23" s="61">
        <f t="shared" si="0"/>
        <v>13.2121</v>
      </c>
      <c r="I23" s="61">
        <f t="shared" si="0"/>
        <v>19.590200000000003</v>
      </c>
      <c r="J23" s="61">
        <f t="shared" si="0"/>
        <v>82.797899999999998</v>
      </c>
    </row>
    <row r="24" spans="1:11" s="46" customFormat="1" ht="16.5" customHeight="1" x14ac:dyDescent="0.25">
      <c r="A24" s="108" t="s">
        <v>58</v>
      </c>
      <c r="B24" s="62" t="s">
        <v>29</v>
      </c>
      <c r="C24" s="63" t="s">
        <v>49</v>
      </c>
      <c r="D24" s="63" t="s">
        <v>50</v>
      </c>
      <c r="E24" s="31" t="s">
        <v>77</v>
      </c>
      <c r="F24" s="56">
        <v>22.1</v>
      </c>
      <c r="G24" s="56">
        <f>364*0.15+66*0.3+280*0.25</f>
        <v>144.4</v>
      </c>
      <c r="H24" s="56">
        <f>23.2*0.15+0.08*0.3+8*0.25</f>
        <v>5.5039999999999996</v>
      </c>
      <c r="I24" s="56">
        <f>29.5*0.15+7.25*0.3+3*0.25</f>
        <v>7.35</v>
      </c>
      <c r="J24" s="57">
        <f>0+0.13*0.3+54*0.25</f>
        <v>13.539</v>
      </c>
    </row>
    <row r="25" spans="1:11" ht="30" x14ac:dyDescent="0.25">
      <c r="A25" s="109"/>
      <c r="B25" s="49" t="s">
        <v>16</v>
      </c>
      <c r="C25" s="47" t="s">
        <v>69</v>
      </c>
      <c r="D25" s="47" t="s">
        <v>70</v>
      </c>
      <c r="E25" s="58" t="s">
        <v>71</v>
      </c>
      <c r="F25" s="48">
        <v>12.46</v>
      </c>
      <c r="G25" s="48">
        <f>415*0.25+162*0.1</f>
        <v>119.95</v>
      </c>
      <c r="H25" s="48">
        <f>7.21*0.25+2.6*0.1</f>
        <v>2.0625</v>
      </c>
      <c r="I25" s="48">
        <f>19.68*0.25+15*0.1</f>
        <v>6.42</v>
      </c>
      <c r="J25" s="50">
        <f>43.73*0.25+3.6*0.1</f>
        <v>11.292499999999999</v>
      </c>
    </row>
    <row r="26" spans="1:11" x14ac:dyDescent="0.25">
      <c r="A26" s="109"/>
      <c r="B26" s="49" t="s">
        <v>13</v>
      </c>
      <c r="C26" s="47" t="s">
        <v>41</v>
      </c>
      <c r="D26" s="47" t="s">
        <v>42</v>
      </c>
      <c r="E26" s="58">
        <v>65</v>
      </c>
      <c r="F26" s="48">
        <v>29.39</v>
      </c>
      <c r="G26" s="64">
        <f>161/50*65</f>
        <v>209.3</v>
      </c>
      <c r="H26" s="64">
        <f>7.61/50*65</f>
        <v>9.8930000000000007</v>
      </c>
      <c r="I26" s="64">
        <f>11.07/50*65</f>
        <v>14.391</v>
      </c>
      <c r="J26" s="65">
        <f>7.66/50*65</f>
        <v>9.9580000000000002</v>
      </c>
      <c r="K26"/>
    </row>
    <row r="27" spans="1:11" x14ac:dyDescent="0.25">
      <c r="A27" s="109"/>
      <c r="B27" s="49" t="s">
        <v>17</v>
      </c>
      <c r="C27" s="47" t="s">
        <v>34</v>
      </c>
      <c r="D27" s="47" t="s">
        <v>35</v>
      </c>
      <c r="E27" s="58">
        <v>100</v>
      </c>
      <c r="F27" s="48">
        <v>9.32</v>
      </c>
      <c r="G27" s="48">
        <f>1398*0.1</f>
        <v>139.80000000000001</v>
      </c>
      <c r="H27" s="48">
        <f>24.34*0.1</f>
        <v>2.4340000000000002</v>
      </c>
      <c r="I27" s="48">
        <f>35.83*0.1</f>
        <v>3.5830000000000002</v>
      </c>
      <c r="J27" s="50">
        <f>244.56*0.1</f>
        <v>24.456000000000003</v>
      </c>
      <c r="K27"/>
    </row>
    <row r="28" spans="1:11" x14ac:dyDescent="0.25">
      <c r="A28" s="109"/>
      <c r="B28" s="49" t="s">
        <v>18</v>
      </c>
      <c r="C28" s="47" t="s">
        <v>19</v>
      </c>
      <c r="D28" s="47" t="s">
        <v>20</v>
      </c>
      <c r="E28" s="58" t="s">
        <v>32</v>
      </c>
      <c r="F28" s="48">
        <v>2.31</v>
      </c>
      <c r="G28" s="48">
        <v>60</v>
      </c>
      <c r="H28" s="48">
        <v>7.0000000000000007E-2</v>
      </c>
      <c r="I28" s="48">
        <v>0.02</v>
      </c>
      <c r="J28" s="50">
        <v>15</v>
      </c>
    </row>
    <row r="29" spans="1:11" ht="15.75" thickBot="1" x14ac:dyDescent="0.3">
      <c r="A29" s="110"/>
      <c r="B29" s="51" t="s">
        <v>14</v>
      </c>
      <c r="C29" s="52" t="s">
        <v>30</v>
      </c>
      <c r="D29" s="52" t="s">
        <v>31</v>
      </c>
      <c r="E29" s="59">
        <v>36.5</v>
      </c>
      <c r="F29" s="60">
        <v>1.42</v>
      </c>
      <c r="G29" s="60">
        <f>229.7*0.365</f>
        <v>83.840499999999992</v>
      </c>
      <c r="H29" s="53">
        <f>6.7*0.365</f>
        <v>2.4455</v>
      </c>
      <c r="I29" s="53">
        <f>1.1*0.365</f>
        <v>0.40150000000000002</v>
      </c>
      <c r="J29" s="54">
        <f>48.3*0.365</f>
        <v>17.6295</v>
      </c>
      <c r="K29"/>
    </row>
    <row r="30" spans="1:11" ht="16.5" thickBot="1" x14ac:dyDescent="0.3">
      <c r="A30" s="98" t="s">
        <v>15</v>
      </c>
      <c r="B30" s="121"/>
      <c r="C30" s="121"/>
      <c r="D30" s="121"/>
      <c r="E30" s="122"/>
      <c r="F30" s="82">
        <f>SUM(F24:F29)</f>
        <v>77.000000000000014</v>
      </c>
      <c r="G30" s="82">
        <f t="shared" ref="G30:J30" si="1">SUM(G24:G29)</f>
        <v>757.29050000000007</v>
      </c>
      <c r="H30" s="82">
        <f t="shared" si="1"/>
        <v>22.408999999999999</v>
      </c>
      <c r="I30" s="82">
        <f t="shared" si="1"/>
        <v>32.165500000000002</v>
      </c>
      <c r="J30" s="82">
        <f t="shared" si="1"/>
        <v>91.875</v>
      </c>
      <c r="K30"/>
    </row>
    <row r="32" spans="1:11" ht="15.75" thickBot="1" x14ac:dyDescent="0.3">
      <c r="A32" s="91" t="s">
        <v>25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ht="15.75" x14ac:dyDescent="0.25">
      <c r="A33" s="77"/>
      <c r="B33" s="22"/>
      <c r="C33" s="90" t="s">
        <v>23</v>
      </c>
      <c r="D33" s="90"/>
      <c r="G33" s="92"/>
      <c r="H33" s="92"/>
      <c r="I33" s="92"/>
      <c r="J33" s="92"/>
    </row>
    <row r="34" spans="1:10" x14ac:dyDescent="0.25">
      <c r="A34" s="75"/>
      <c r="B34" s="1"/>
      <c r="C34" s="1"/>
      <c r="D34" s="1"/>
    </row>
    <row r="35" spans="1:10" x14ac:dyDescent="0.25">
      <c r="A35" s="101" t="s">
        <v>24</v>
      </c>
      <c r="B35" s="101"/>
    </row>
    <row r="36" spans="1:10" x14ac:dyDescent="0.25">
      <c r="A36" s="101" t="s">
        <v>26</v>
      </c>
      <c r="B36" s="101"/>
    </row>
    <row r="37" spans="1:10" x14ac:dyDescent="0.25">
      <c r="A37" s="78"/>
    </row>
  </sheetData>
  <mergeCells count="17">
    <mergeCell ref="A35:B35"/>
    <mergeCell ref="A36:B36"/>
    <mergeCell ref="A30:E30"/>
    <mergeCell ref="A32:J32"/>
    <mergeCell ref="C33:D33"/>
    <mergeCell ref="G33:J33"/>
    <mergeCell ref="B1:C1"/>
    <mergeCell ref="G1:J1"/>
    <mergeCell ref="A3:A9"/>
    <mergeCell ref="A10:E10"/>
    <mergeCell ref="A11:A13"/>
    <mergeCell ref="A24:A29"/>
    <mergeCell ref="A14:E14"/>
    <mergeCell ref="A23:E23"/>
    <mergeCell ref="A17:E17"/>
    <mergeCell ref="A15:A16"/>
    <mergeCell ref="A18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2022-10-20T11:42:32Z</dcterms:modified>
</cp:coreProperties>
</file>