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 activeTab="1"/>
  </bookViews>
  <sheets>
    <sheet name="1-4 кл" sheetId="1" r:id="rId1"/>
    <sheet name="5-11 кл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2" l="1"/>
  <c r="I27" i="2"/>
  <c r="H27" i="2"/>
  <c r="G27" i="2"/>
  <c r="J29" i="2"/>
  <c r="I29" i="2"/>
  <c r="H29" i="2"/>
  <c r="G29" i="2"/>
  <c r="J30" i="2" l="1"/>
  <c r="I30" i="2"/>
  <c r="H30" i="2"/>
  <c r="G30" i="2"/>
  <c r="J26" i="2"/>
  <c r="I26" i="2"/>
  <c r="H26" i="2"/>
  <c r="G26" i="2"/>
  <c r="J25" i="2"/>
  <c r="I25" i="2"/>
  <c r="H25" i="2"/>
  <c r="G25" i="2"/>
  <c r="J24" i="2"/>
  <c r="I24" i="2"/>
  <c r="H24" i="2"/>
  <c r="G24" i="2"/>
  <c r="J22" i="2"/>
  <c r="I22" i="2"/>
  <c r="H22" i="2"/>
  <c r="G22" i="2"/>
  <c r="J19" i="2"/>
  <c r="I19" i="2"/>
  <c r="H19" i="2"/>
  <c r="G19" i="2"/>
  <c r="J20" i="2"/>
  <c r="I20" i="2"/>
  <c r="H20" i="2"/>
  <c r="G20" i="2"/>
  <c r="J18" i="2"/>
  <c r="I18" i="2"/>
  <c r="H18" i="2"/>
  <c r="G18" i="2"/>
  <c r="J13" i="2"/>
  <c r="I13" i="2"/>
  <c r="H13" i="2"/>
  <c r="G13" i="2"/>
  <c r="J11" i="2"/>
  <c r="I11" i="2"/>
  <c r="H11" i="2"/>
  <c r="G11" i="2"/>
  <c r="J10" i="2"/>
  <c r="I10" i="2"/>
  <c r="H10" i="2"/>
  <c r="G10" i="2"/>
  <c r="J3" i="2"/>
  <c r="I3" i="2"/>
  <c r="H3" i="2"/>
  <c r="G3" i="2"/>
  <c r="J8" i="2"/>
  <c r="I8" i="2"/>
  <c r="H8" i="2"/>
  <c r="G8" i="2"/>
  <c r="J5" i="2"/>
  <c r="I5" i="2"/>
  <c r="H5" i="2"/>
  <c r="G5" i="2"/>
  <c r="J4" i="2"/>
  <c r="I4" i="2"/>
  <c r="H4" i="2"/>
  <c r="G4" i="2"/>
  <c r="G24" i="1" l="1"/>
  <c r="H24" i="1"/>
  <c r="I24" i="1"/>
  <c r="J24" i="1"/>
  <c r="J23" i="1"/>
  <c r="I23" i="1"/>
  <c r="H23" i="1"/>
  <c r="G23" i="1"/>
  <c r="J22" i="1"/>
  <c r="I22" i="1"/>
  <c r="H22" i="1"/>
  <c r="G22" i="1"/>
  <c r="J19" i="1"/>
  <c r="I19" i="1"/>
  <c r="H19" i="1"/>
  <c r="G19" i="1"/>
  <c r="J18" i="1"/>
  <c r="I18" i="1"/>
  <c r="H18" i="1"/>
  <c r="G18" i="1"/>
  <c r="J15" i="1"/>
  <c r="I15" i="1"/>
  <c r="H15" i="1"/>
  <c r="G15" i="1"/>
  <c r="J12" i="1"/>
  <c r="I12" i="1"/>
  <c r="H12" i="1"/>
  <c r="G12" i="1"/>
  <c r="J11" i="1"/>
  <c r="I11" i="1"/>
  <c r="H11" i="1"/>
  <c r="G11" i="1"/>
  <c r="J13" i="1" l="1"/>
  <c r="I13" i="1"/>
  <c r="H13" i="1"/>
  <c r="G13" i="1"/>
  <c r="J20" i="1"/>
  <c r="I20" i="1"/>
  <c r="H20" i="1"/>
  <c r="G20" i="1"/>
  <c r="G10" i="1" l="1"/>
  <c r="H10" i="1"/>
  <c r="I10" i="1"/>
  <c r="J10" i="1"/>
  <c r="J3" i="1"/>
  <c r="I3" i="1"/>
  <c r="H3" i="1"/>
  <c r="G3" i="1"/>
  <c r="J4" i="1" l="1"/>
  <c r="I4" i="1"/>
  <c r="H4" i="1"/>
  <c r="G4" i="1"/>
  <c r="J9" i="1"/>
  <c r="I9" i="1"/>
  <c r="H9" i="1"/>
  <c r="G9" i="1"/>
  <c r="J6" i="1" l="1"/>
  <c r="I6" i="1"/>
  <c r="H6" i="1"/>
  <c r="G6" i="1"/>
  <c r="J5" i="1"/>
  <c r="I5" i="1"/>
  <c r="H5" i="1"/>
  <c r="G5" i="1"/>
  <c r="J16" i="2" l="1"/>
  <c r="I16" i="2"/>
  <c r="H16" i="2"/>
  <c r="G16" i="2"/>
  <c r="F9" i="2"/>
  <c r="J26" i="1" l="1"/>
  <c r="I26" i="1"/>
  <c r="H26" i="1"/>
  <c r="G26" i="1"/>
  <c r="F24" i="1" l="1"/>
  <c r="J17" i="1" l="1"/>
  <c r="I17" i="1"/>
  <c r="H17" i="1"/>
  <c r="G17" i="1"/>
  <c r="G16" i="1" l="1"/>
  <c r="H16" i="1"/>
  <c r="I16" i="1"/>
  <c r="J16" i="1"/>
  <c r="F16" i="1"/>
  <c r="G31" i="2" l="1"/>
  <c r="H31" i="2"/>
  <c r="I31" i="2"/>
  <c r="J31" i="2"/>
  <c r="F31" i="2"/>
  <c r="F27" i="1" l="1"/>
  <c r="G27" i="1" l="1"/>
  <c r="I27" i="1"/>
  <c r="H27" i="1"/>
  <c r="J27" i="1"/>
  <c r="F14" i="2" l="1"/>
  <c r="J14" i="2"/>
  <c r="I14" i="2"/>
  <c r="H14" i="2"/>
  <c r="G14" i="2"/>
  <c r="F17" i="2"/>
  <c r="J17" i="2"/>
  <c r="I17" i="2"/>
  <c r="H17" i="2"/>
  <c r="G17" i="2"/>
  <c r="F10" i="1"/>
  <c r="F23" i="2" l="1"/>
  <c r="G9" i="2"/>
  <c r="H9" i="2"/>
  <c r="I9" i="2"/>
  <c r="J9" i="2"/>
  <c r="J23" i="2" l="1"/>
  <c r="I23" i="2"/>
  <c r="H23" i="2"/>
  <c r="G23" i="2"/>
</calcChain>
</file>

<file path=xl/sharedStrings.xml><?xml version="1.0" encoding="utf-8"?>
<sst xmlns="http://schemas.openxmlformats.org/spreadsheetml/2006/main" count="200" uniqueCount="76">
  <si>
    <t>Школа</t>
  </si>
  <si>
    <t>Отд./корп</t>
  </si>
  <si>
    <t>День</t>
  </si>
  <si>
    <t>Прием пищи</t>
  </si>
  <si>
    <t>Раздел</t>
  </si>
  <si>
    <t>№ рец.</t>
  </si>
  <si>
    <t>Блюдо</t>
  </si>
  <si>
    <t>Выход, г</t>
  </si>
  <si>
    <t>Цена</t>
  </si>
  <si>
    <t>Калорийность</t>
  </si>
  <si>
    <t>Белки</t>
  </si>
  <si>
    <t>Жиры</t>
  </si>
  <si>
    <t>Углеводы</t>
  </si>
  <si>
    <t>Горячее блюдо</t>
  </si>
  <si>
    <t>Хлеб</t>
  </si>
  <si>
    <t>Итого</t>
  </si>
  <si>
    <t>Первое блюдо</t>
  </si>
  <si>
    <t>Гарнир</t>
  </si>
  <si>
    <t>Горячий напиток</t>
  </si>
  <si>
    <t>№685-2004г.</t>
  </si>
  <si>
    <t>Чай с сахаром</t>
  </si>
  <si>
    <t>Мучное изделие</t>
  </si>
  <si>
    <t>Фрукт</t>
  </si>
  <si>
    <t>Гимназия №1</t>
  </si>
  <si>
    <t>подпись                расшифровка             </t>
  </si>
  <si>
    <t>Ответственный за питание</t>
  </si>
  <si>
    <t>Согласовано Директором МАОУ "Гимназия №1" Кравченко А.М.</t>
  </si>
  <si>
    <r>
      <t xml:space="preserve">Зав. производств. </t>
    </r>
    <r>
      <rPr>
        <sz val="11"/>
        <color theme="1"/>
        <rFont val="Times New Roman"/>
        <family val="1"/>
        <charset val="204"/>
      </rPr>
      <t>Кошакова З.С.</t>
    </r>
  </si>
  <si>
    <t>Завтрак 1-2 кл и дети-инвалиды 1 смена</t>
  </si>
  <si>
    <t xml:space="preserve">Обед дети-инвалиды 1-2 кл 1 смена </t>
  </si>
  <si>
    <t>Обед 3-4 кл., дети-инвалиды 2 смена, ГПД</t>
  </si>
  <si>
    <t>Полдник дети-инвалиды 3-4 кл 2 смена</t>
  </si>
  <si>
    <t>Закуска</t>
  </si>
  <si>
    <t>№210-2015г.</t>
  </si>
  <si>
    <t>ТТК№5</t>
  </si>
  <si>
    <t>Батон "Домашний"</t>
  </si>
  <si>
    <t>200/15</t>
  </si>
  <si>
    <t>№338-2015г.</t>
  </si>
  <si>
    <t>Завтрак льготный 5-11 кл</t>
  </si>
  <si>
    <t xml:space="preserve">Обед дети-инвалиды 5-11 кл 2 смена </t>
  </si>
  <si>
    <t>Завтрак бюджетный 1-я смена и полдник для детей-инвалидов 2-я смена 5-11 кл</t>
  </si>
  <si>
    <t>250/2</t>
  </si>
  <si>
    <t>Салат "Витаминный"</t>
  </si>
  <si>
    <t>Омлет натуральный с маслом</t>
  </si>
  <si>
    <t>Напиток</t>
  </si>
  <si>
    <t>ПР</t>
  </si>
  <si>
    <t>Кондитерское изделие</t>
  </si>
  <si>
    <t>№389-2015г.</t>
  </si>
  <si>
    <t>Сок фруктовый</t>
  </si>
  <si>
    <t>Пряник сливочный</t>
  </si>
  <si>
    <t>№71-2015г.</t>
  </si>
  <si>
    <t>Овощи натуральные свежие (помидоры)</t>
  </si>
  <si>
    <t>№304-2015г.</t>
  </si>
  <si>
    <t>Рис отварной</t>
  </si>
  <si>
    <t>№49-2015г.</t>
  </si>
  <si>
    <t>Печенье "Сахарное"</t>
  </si>
  <si>
    <t>Завтрак 5-11 кл с доплатой 70,00 руб. и льготники с доплатой 50,00 руб. 1 смена</t>
  </si>
  <si>
    <t>Обед 6-7 кл. с доплатой 70,00 руб. и льготники с доплатой 50,00 руб. 2 смена</t>
  </si>
  <si>
    <t>105/5</t>
  </si>
  <si>
    <t>№379-2015г.</t>
  </si>
  <si>
    <t>Кофейный напиток с молоком</t>
  </si>
  <si>
    <t>ТТК №6</t>
  </si>
  <si>
    <t>Булочка "Рулетик с маком"</t>
  </si>
  <si>
    <t>№15-2015г.</t>
  </si>
  <si>
    <t>Сыр "Российский" (порциями)</t>
  </si>
  <si>
    <t>№295-2015г.</t>
  </si>
  <si>
    <t>Котлета рубленая из бройлер-цыплят</t>
  </si>
  <si>
    <t>№309-2015г.</t>
  </si>
  <si>
    <t>Макароны отварные</t>
  </si>
  <si>
    <t>Суп картофельный с крупой с зеленью</t>
  </si>
  <si>
    <t>№101-2015г.</t>
  </si>
  <si>
    <t>Фрукт свежий (груша)</t>
  </si>
  <si>
    <t>№243-2015г.</t>
  </si>
  <si>
    <t>Сосиска отварная</t>
  </si>
  <si>
    <t>ТТК №50</t>
  </si>
  <si>
    <t>Блинчик с джемом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</si>
</sst>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 style="thick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7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/>
    <xf numFmtId="2" fontId="5" fillId="0" borderId="2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2" fontId="4" fillId="0" borderId="4" xfId="0" applyNumberFormat="1" applyFont="1" applyBorder="1" applyAlignment="1">
      <alignment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2" fontId="4" fillId="0" borderId="13" xfId="0" applyNumberFormat="1" applyFont="1" applyBorder="1" applyAlignment="1">
      <alignment horizontal="right"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2" fontId="4" fillId="0" borderId="16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2" fontId="4" fillId="0" borderId="15" xfId="0" applyNumberFormat="1" applyFont="1" applyBorder="1" applyAlignment="1">
      <alignment horizontal="right" vertical="center" wrapText="1"/>
    </xf>
    <xf numFmtId="2" fontId="5" fillId="0" borderId="7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4" fillId="0" borderId="25" xfId="0" applyFont="1" applyBorder="1" applyAlignment="1">
      <alignment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0" fontId="4" fillId="0" borderId="0" xfId="0" applyFont="1"/>
    <xf numFmtId="2" fontId="5" fillId="0" borderId="30" xfId="0" applyNumberFormat="1" applyFont="1" applyBorder="1" applyAlignment="1">
      <alignment vertical="center" wrapText="1"/>
    </xf>
    <xf numFmtId="0" fontId="4" fillId="0" borderId="0" xfId="0" applyFont="1"/>
    <xf numFmtId="2" fontId="5" fillId="0" borderId="32" xfId="0" applyNumberFormat="1" applyFont="1" applyBorder="1" applyAlignment="1">
      <alignment vertical="center" wrapText="1"/>
    </xf>
    <xf numFmtId="0" fontId="4" fillId="0" borderId="0" xfId="0" applyFont="1"/>
    <xf numFmtId="0" fontId="4" fillId="0" borderId="0" xfId="0" applyFont="1"/>
    <xf numFmtId="2" fontId="8" fillId="0" borderId="4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4" fillId="0" borderId="4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left" vertical="center" wrapText="1"/>
    </xf>
    <xf numFmtId="0" fontId="4" fillId="0" borderId="0" xfId="0" applyFont="1"/>
    <xf numFmtId="0" fontId="4" fillId="0" borderId="15" xfId="0" applyNumberFormat="1" applyFont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4" fontId="4" fillId="0" borderId="16" xfId="0" applyNumberFormat="1" applyFont="1" applyBorder="1" applyAlignment="1">
      <alignment horizontal="right" vertical="center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/>
    <xf numFmtId="0" fontId="4" fillId="0" borderId="0" xfId="0" applyFont="1"/>
    <xf numFmtId="0" fontId="6" fillId="0" borderId="0" xfId="0" applyFont="1" applyAlignment="1">
      <alignment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21" xfId="0" applyNumberFormat="1" applyFont="1" applyBorder="1" applyAlignment="1">
      <alignment horizontal="center" vertical="center" wrapText="1"/>
    </xf>
    <xf numFmtId="14" fontId="7" fillId="0" borderId="22" xfId="0" applyNumberFormat="1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4" fillId="0" borderId="19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9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2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1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10" fillId="0" borderId="36" xfId="0" applyFont="1" applyBorder="1" applyAlignment="1">
      <alignment vertical="center" wrapText="1"/>
    </xf>
  </cellXfs>
  <cellStyles count="12">
    <cellStyle name="Обычный" xfId="0" builtinId="0"/>
    <cellStyle name="Обычный 2" xfId="1"/>
    <cellStyle name="Обычный 2 2" xfId="2"/>
    <cellStyle name="Обычный 2 2 2" xfId="4"/>
    <cellStyle name="Обычный 2 3" xfId="3"/>
    <cellStyle name="Обычный 2 4" xfId="5"/>
    <cellStyle name="Обычный 2 4 2" xfId="6"/>
    <cellStyle name="Обычный 2 4 3" xfId="7"/>
    <cellStyle name="Обычный 2 5" xfId="8"/>
    <cellStyle name="Обычный 2 6" xfId="9"/>
    <cellStyle name="Обычный 2 6 2" xfId="10"/>
    <cellStyle name="Обычный 2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workbookViewId="0">
      <selection activeCell="B17" sqref="B17:J21"/>
    </sheetView>
  </sheetViews>
  <sheetFormatPr defaultRowHeight="15" x14ac:dyDescent="0.25"/>
  <cols>
    <col min="1" max="1" width="19.5703125" style="2" customWidth="1"/>
    <col min="2" max="2" width="24.7109375" style="2" customWidth="1"/>
    <col min="3" max="3" width="12.28515625" style="2" customWidth="1"/>
    <col min="4" max="4" width="48" style="2" customWidth="1"/>
    <col min="5" max="5" width="10.140625" style="2" bestFit="1" customWidth="1"/>
    <col min="6" max="6" width="8.140625" style="2" customWidth="1"/>
    <col min="7" max="7" width="14" style="2" customWidth="1"/>
    <col min="8" max="9" width="8.85546875" style="2" customWidth="1"/>
    <col min="10" max="10" width="10.85546875" style="2" customWidth="1"/>
    <col min="11" max="16384" width="9.140625" style="2"/>
  </cols>
  <sheetData>
    <row r="1" spans="1:12" ht="15.75" thickBot="1" x14ac:dyDescent="0.3">
      <c r="A1" s="32" t="s">
        <v>0</v>
      </c>
      <c r="B1" s="69" t="s">
        <v>23</v>
      </c>
      <c r="C1" s="70"/>
      <c r="D1" s="1" t="s">
        <v>1</v>
      </c>
      <c r="E1" s="35"/>
      <c r="F1" s="1" t="s">
        <v>2</v>
      </c>
      <c r="G1" s="71">
        <v>44858</v>
      </c>
      <c r="H1" s="72"/>
      <c r="I1" s="72"/>
      <c r="J1" s="73"/>
      <c r="K1" s="1"/>
      <c r="L1" s="1"/>
    </row>
    <row r="2" spans="1:12" ht="15.75" thickBot="1" x14ac:dyDescent="0.3">
      <c r="A2" s="33" t="s">
        <v>3</v>
      </c>
      <c r="B2" s="5" t="s">
        <v>4</v>
      </c>
      <c r="C2" s="34" t="s">
        <v>5</v>
      </c>
      <c r="D2" s="46" t="s">
        <v>6</v>
      </c>
      <c r="E2" s="46" t="s">
        <v>7</v>
      </c>
      <c r="F2" s="46" t="s">
        <v>8</v>
      </c>
      <c r="G2" s="5" t="s">
        <v>9</v>
      </c>
      <c r="H2" s="5" t="s">
        <v>10</v>
      </c>
      <c r="I2" s="5" t="s">
        <v>11</v>
      </c>
      <c r="J2" s="29" t="s">
        <v>12</v>
      </c>
    </row>
    <row r="3" spans="1:12" x14ac:dyDescent="0.25">
      <c r="A3" s="61" t="s">
        <v>28</v>
      </c>
      <c r="B3" s="16" t="s">
        <v>32</v>
      </c>
      <c r="C3" s="17" t="s">
        <v>63</v>
      </c>
      <c r="D3" s="17" t="s">
        <v>64</v>
      </c>
      <c r="E3" s="18">
        <v>20</v>
      </c>
      <c r="F3" s="18">
        <v>20.79</v>
      </c>
      <c r="G3" s="19">
        <f>3.64*20</f>
        <v>72.8</v>
      </c>
      <c r="H3" s="19">
        <f>23.2*0.2</f>
        <v>4.6399999999999997</v>
      </c>
      <c r="I3" s="19">
        <f>29.5*0.2</f>
        <v>5.9</v>
      </c>
      <c r="J3" s="20">
        <f>0</f>
        <v>0</v>
      </c>
    </row>
    <row r="4" spans="1:12" s="53" customFormat="1" x14ac:dyDescent="0.25">
      <c r="A4" s="62"/>
      <c r="B4" s="9" t="s">
        <v>32</v>
      </c>
      <c r="C4" s="6" t="s">
        <v>54</v>
      </c>
      <c r="D4" s="6" t="s">
        <v>42</v>
      </c>
      <c r="E4" s="21">
        <v>60</v>
      </c>
      <c r="F4" s="8">
        <v>19.93</v>
      </c>
      <c r="G4" s="8">
        <f>957*0.05</f>
        <v>47.85</v>
      </c>
      <c r="H4" s="8">
        <f>15.71*0.05</f>
        <v>0.78550000000000009</v>
      </c>
      <c r="I4" s="8">
        <f>60.22*0.05</f>
        <v>3.0110000000000001</v>
      </c>
      <c r="J4" s="10">
        <f>87.92*0.05</f>
        <v>4.3959999999999999</v>
      </c>
    </row>
    <row r="5" spans="1:12" x14ac:dyDescent="0.25">
      <c r="A5" s="62"/>
      <c r="B5" s="9" t="s">
        <v>13</v>
      </c>
      <c r="C5" s="6" t="s">
        <v>33</v>
      </c>
      <c r="D5" s="6" t="s">
        <v>43</v>
      </c>
      <c r="E5" s="21" t="s">
        <v>58</v>
      </c>
      <c r="F5" s="8">
        <v>28.55</v>
      </c>
      <c r="G5" s="8">
        <f>79*2+66*0.5</f>
        <v>191</v>
      </c>
      <c r="H5" s="8">
        <f>5.32*2+0.08*0.5</f>
        <v>10.68</v>
      </c>
      <c r="I5" s="8">
        <f>5.97*2+7.25*0.5</f>
        <v>15.565</v>
      </c>
      <c r="J5" s="10">
        <f>0.95*2+0.13*0.5</f>
        <v>1.9649999999999999</v>
      </c>
    </row>
    <row r="6" spans="1:12" s="43" customFormat="1" x14ac:dyDescent="0.25">
      <c r="A6" s="62"/>
      <c r="B6" s="9" t="s">
        <v>17</v>
      </c>
      <c r="C6" s="6" t="s">
        <v>52</v>
      </c>
      <c r="D6" s="6" t="s">
        <v>53</v>
      </c>
      <c r="E6" s="21">
        <v>110</v>
      </c>
      <c r="F6" s="8">
        <v>10.25</v>
      </c>
      <c r="G6" s="8">
        <f>1398*0.11</f>
        <v>153.78</v>
      </c>
      <c r="H6" s="8">
        <f>24.34*0.11</f>
        <v>2.6774</v>
      </c>
      <c r="I6" s="8">
        <f>35.83*0.11</f>
        <v>3.9413</v>
      </c>
      <c r="J6" s="10">
        <f>244.56*0.11</f>
        <v>26.901600000000002</v>
      </c>
    </row>
    <row r="7" spans="1:12" x14ac:dyDescent="0.25">
      <c r="A7" s="62"/>
      <c r="B7" s="9" t="s">
        <v>18</v>
      </c>
      <c r="C7" s="6" t="s">
        <v>59</v>
      </c>
      <c r="D7" s="6" t="s">
        <v>60</v>
      </c>
      <c r="E7" s="51">
        <v>200</v>
      </c>
      <c r="F7" s="7">
        <v>9.3699999999999992</v>
      </c>
      <c r="G7" s="47">
        <v>100.6</v>
      </c>
      <c r="H7" s="47">
        <v>3.17</v>
      </c>
      <c r="I7" s="47">
        <v>2.68</v>
      </c>
      <c r="J7" s="48">
        <v>15.95</v>
      </c>
    </row>
    <row r="8" spans="1:12" x14ac:dyDescent="0.25">
      <c r="A8" s="62"/>
      <c r="B8" s="9" t="s">
        <v>21</v>
      </c>
      <c r="C8" s="6" t="s">
        <v>61</v>
      </c>
      <c r="D8" s="6" t="s">
        <v>62</v>
      </c>
      <c r="E8" s="21">
        <v>50</v>
      </c>
      <c r="F8" s="8">
        <v>7.2</v>
      </c>
      <c r="G8" s="8">
        <v>198.6</v>
      </c>
      <c r="H8" s="44">
        <v>4.0999999999999996</v>
      </c>
      <c r="I8" s="44">
        <v>7.7</v>
      </c>
      <c r="J8" s="45">
        <v>28.2</v>
      </c>
    </row>
    <row r="9" spans="1:12" ht="15.75" thickBot="1" x14ac:dyDescent="0.3">
      <c r="A9" s="63"/>
      <c r="B9" s="12" t="s">
        <v>14</v>
      </c>
      <c r="C9" s="13" t="s">
        <v>34</v>
      </c>
      <c r="D9" s="13" t="s">
        <v>35</v>
      </c>
      <c r="E9" s="22">
        <v>27.5</v>
      </c>
      <c r="F9" s="23">
        <v>1.06</v>
      </c>
      <c r="G9" s="23">
        <f>229.7*0.275</f>
        <v>63.167500000000004</v>
      </c>
      <c r="H9" s="14">
        <f>6.7*0.275</f>
        <v>1.8425000000000002</v>
      </c>
      <c r="I9" s="14">
        <f>1.1*0.275</f>
        <v>0.30250000000000005</v>
      </c>
      <c r="J9" s="15">
        <f>48.3*0.275</f>
        <v>13.282500000000001</v>
      </c>
    </row>
    <row r="10" spans="1:12" ht="16.5" thickBot="1" x14ac:dyDescent="0.3">
      <c r="A10" s="64" t="s">
        <v>15</v>
      </c>
      <c r="B10" s="77"/>
      <c r="C10" s="77"/>
      <c r="D10" s="77"/>
      <c r="E10" s="78"/>
      <c r="F10" s="24">
        <f>SUM(F3:F9)</f>
        <v>97.15</v>
      </c>
      <c r="G10" s="24">
        <f t="shared" ref="G10:J10" si="0">SUM(G3:G9)</f>
        <v>827.79750000000001</v>
      </c>
      <c r="H10" s="24">
        <f t="shared" si="0"/>
        <v>27.895400000000002</v>
      </c>
      <c r="I10" s="24">
        <f t="shared" si="0"/>
        <v>39.099800000000002</v>
      </c>
      <c r="J10" s="24">
        <f t="shared" si="0"/>
        <v>90.695099999999996</v>
      </c>
    </row>
    <row r="11" spans="1:12" x14ac:dyDescent="0.25">
      <c r="A11" s="79" t="s">
        <v>29</v>
      </c>
      <c r="B11" s="25" t="s">
        <v>16</v>
      </c>
      <c r="C11" s="26" t="s">
        <v>70</v>
      </c>
      <c r="D11" s="26" t="s">
        <v>69</v>
      </c>
      <c r="E11" s="18" t="s">
        <v>41</v>
      </c>
      <c r="F11" s="19">
        <v>6.96</v>
      </c>
      <c r="G11" s="19">
        <f>343*0.25</f>
        <v>85.75</v>
      </c>
      <c r="H11" s="19">
        <f>7.89*0.25</f>
        <v>1.9724999999999999</v>
      </c>
      <c r="I11" s="19">
        <f>10.85*0.25</f>
        <v>2.7124999999999999</v>
      </c>
      <c r="J11" s="20">
        <f>48.45*0.25</f>
        <v>12.112500000000001</v>
      </c>
    </row>
    <row r="12" spans="1:12" x14ac:dyDescent="0.25">
      <c r="A12" s="80"/>
      <c r="B12" s="9" t="s">
        <v>13</v>
      </c>
      <c r="C12" s="6" t="s">
        <v>65</v>
      </c>
      <c r="D12" s="6" t="s">
        <v>66</v>
      </c>
      <c r="E12" s="21">
        <v>45</v>
      </c>
      <c r="F12" s="8">
        <v>20.350000000000001</v>
      </c>
      <c r="G12" s="44">
        <f>161/50*45</f>
        <v>144.9</v>
      </c>
      <c r="H12" s="44">
        <f>7.61/50*45</f>
        <v>6.8490000000000002</v>
      </c>
      <c r="I12" s="44">
        <f>11.07/50*45</f>
        <v>9.963000000000001</v>
      </c>
      <c r="J12" s="45">
        <f>7.66/50*45</f>
        <v>6.8940000000000001</v>
      </c>
    </row>
    <row r="13" spans="1:12" x14ac:dyDescent="0.25">
      <c r="A13" s="80"/>
      <c r="B13" s="9" t="s">
        <v>17</v>
      </c>
      <c r="C13" s="6" t="s">
        <v>67</v>
      </c>
      <c r="D13" s="6" t="s">
        <v>68</v>
      </c>
      <c r="E13" s="21">
        <v>120</v>
      </c>
      <c r="F13" s="8">
        <v>11.47</v>
      </c>
      <c r="G13" s="49">
        <f>112.3*1.2</f>
        <v>134.76</v>
      </c>
      <c r="H13" s="49">
        <f>3.68*1.2</f>
        <v>4.4160000000000004</v>
      </c>
      <c r="I13" s="49">
        <f>3.01*1.2</f>
        <v>3.6119999999999997</v>
      </c>
      <c r="J13" s="50">
        <f>17.63*1.2</f>
        <v>21.155999999999999</v>
      </c>
    </row>
    <row r="14" spans="1:12" x14ac:dyDescent="0.25">
      <c r="A14" s="80"/>
      <c r="B14" s="9" t="s">
        <v>18</v>
      </c>
      <c r="C14" s="6" t="s">
        <v>19</v>
      </c>
      <c r="D14" s="6" t="s">
        <v>20</v>
      </c>
      <c r="E14" s="21" t="s">
        <v>36</v>
      </c>
      <c r="F14" s="8">
        <v>2.31</v>
      </c>
      <c r="G14" s="8">
        <v>60</v>
      </c>
      <c r="H14" s="8">
        <v>7.0000000000000007E-2</v>
      </c>
      <c r="I14" s="8">
        <v>0.02</v>
      </c>
      <c r="J14" s="10">
        <v>15</v>
      </c>
    </row>
    <row r="15" spans="1:12" ht="15.75" thickBot="1" x14ac:dyDescent="0.3">
      <c r="A15" s="80"/>
      <c r="B15" s="12" t="s">
        <v>14</v>
      </c>
      <c r="C15" s="13" t="s">
        <v>34</v>
      </c>
      <c r="D15" s="13" t="s">
        <v>35</v>
      </c>
      <c r="E15" s="22">
        <v>31</v>
      </c>
      <c r="F15" s="23">
        <v>1.2</v>
      </c>
      <c r="G15" s="23">
        <f>229.7*0.31</f>
        <v>71.206999999999994</v>
      </c>
      <c r="H15" s="14">
        <f>6.7*0.31</f>
        <v>2.077</v>
      </c>
      <c r="I15" s="14">
        <f>1.1*0.31</f>
        <v>0.34100000000000003</v>
      </c>
      <c r="J15" s="15">
        <f>48.3*0.31</f>
        <v>14.972999999999999</v>
      </c>
    </row>
    <row r="16" spans="1:12" ht="16.5" thickBot="1" x14ac:dyDescent="0.3">
      <c r="A16" s="81" t="s">
        <v>15</v>
      </c>
      <c r="B16" s="82"/>
      <c r="C16" s="82"/>
      <c r="D16" s="82"/>
      <c r="E16" s="83"/>
      <c r="F16" s="39">
        <f>SUM(F11:F15)</f>
        <v>42.290000000000006</v>
      </c>
      <c r="G16" s="39">
        <f t="shared" ref="G16:J16" si="1">SUM(G11:G15)</f>
        <v>496.61699999999996</v>
      </c>
      <c r="H16" s="39">
        <f t="shared" si="1"/>
        <v>15.384500000000001</v>
      </c>
      <c r="I16" s="39">
        <f t="shared" si="1"/>
        <v>16.648500000000002</v>
      </c>
      <c r="J16" s="39">
        <f t="shared" si="1"/>
        <v>70.135500000000008</v>
      </c>
    </row>
    <row r="17" spans="1:10" s="42" customFormat="1" ht="15.75" x14ac:dyDescent="0.25">
      <c r="A17" s="85" t="s">
        <v>30</v>
      </c>
      <c r="B17" s="52" t="s">
        <v>32</v>
      </c>
      <c r="C17" s="17" t="s">
        <v>50</v>
      </c>
      <c r="D17" s="17" t="s">
        <v>51</v>
      </c>
      <c r="E17" s="18">
        <v>30</v>
      </c>
      <c r="F17" s="19">
        <v>4.05</v>
      </c>
      <c r="G17" s="19">
        <f>11/50*30</f>
        <v>6.6</v>
      </c>
      <c r="H17" s="19">
        <f>0.55/50*30</f>
        <v>0.33</v>
      </c>
      <c r="I17" s="19">
        <f>0.1/50*30</f>
        <v>0.06</v>
      </c>
      <c r="J17" s="20">
        <f>1.9/50*30</f>
        <v>1.1399999999999999</v>
      </c>
    </row>
    <row r="18" spans="1:10" s="38" customFormat="1" x14ac:dyDescent="0.25">
      <c r="A18" s="86"/>
      <c r="B18" s="9" t="s">
        <v>16</v>
      </c>
      <c r="C18" s="6" t="s">
        <v>70</v>
      </c>
      <c r="D18" s="6" t="s">
        <v>69</v>
      </c>
      <c r="E18" s="21" t="s">
        <v>41</v>
      </c>
      <c r="F18" s="8">
        <v>6.96</v>
      </c>
      <c r="G18" s="8">
        <f>343*0.25</f>
        <v>85.75</v>
      </c>
      <c r="H18" s="8">
        <f>7.89*0.25</f>
        <v>1.9724999999999999</v>
      </c>
      <c r="I18" s="8">
        <f>10.85*0.25</f>
        <v>2.7124999999999999</v>
      </c>
      <c r="J18" s="10">
        <f>48.45*0.25</f>
        <v>12.112500000000001</v>
      </c>
    </row>
    <row r="19" spans="1:10" x14ac:dyDescent="0.25">
      <c r="A19" s="86"/>
      <c r="B19" s="9" t="s">
        <v>13</v>
      </c>
      <c r="C19" s="6" t="s">
        <v>65</v>
      </c>
      <c r="D19" s="6" t="s">
        <v>66</v>
      </c>
      <c r="E19" s="21">
        <v>75</v>
      </c>
      <c r="F19" s="8">
        <v>33.909999999999997</v>
      </c>
      <c r="G19" s="44">
        <f>161/50*75</f>
        <v>241.50000000000003</v>
      </c>
      <c r="H19" s="44">
        <f>7.61/50*75</f>
        <v>11.415000000000001</v>
      </c>
      <c r="I19" s="44">
        <f>11.07/50*75</f>
        <v>16.605</v>
      </c>
      <c r="J19" s="45">
        <f>7.66/50*75</f>
        <v>11.49</v>
      </c>
    </row>
    <row r="20" spans="1:10" s="31" customFormat="1" x14ac:dyDescent="0.25">
      <c r="A20" s="86"/>
      <c r="B20" s="9" t="s">
        <v>17</v>
      </c>
      <c r="C20" s="6" t="s">
        <v>67</v>
      </c>
      <c r="D20" s="6" t="s">
        <v>68</v>
      </c>
      <c r="E20" s="21">
        <v>120</v>
      </c>
      <c r="F20" s="8">
        <v>11.47</v>
      </c>
      <c r="G20" s="49">
        <f>112.3*1.2</f>
        <v>134.76</v>
      </c>
      <c r="H20" s="49">
        <f>3.68*1.2</f>
        <v>4.4160000000000004</v>
      </c>
      <c r="I20" s="49">
        <f>3.01*1.2</f>
        <v>3.6119999999999997</v>
      </c>
      <c r="J20" s="50">
        <f>17.63*1.2</f>
        <v>21.155999999999999</v>
      </c>
    </row>
    <row r="21" spans="1:10" x14ac:dyDescent="0.25">
      <c r="A21" s="86"/>
      <c r="B21" s="9" t="s">
        <v>18</v>
      </c>
      <c r="C21" s="6" t="s">
        <v>19</v>
      </c>
      <c r="D21" s="6" t="s">
        <v>20</v>
      </c>
      <c r="E21" s="21" t="s">
        <v>36</v>
      </c>
      <c r="F21" s="8">
        <v>2.31</v>
      </c>
      <c r="G21" s="8">
        <v>60</v>
      </c>
      <c r="H21" s="8">
        <v>7.0000000000000007E-2</v>
      </c>
      <c r="I21" s="8">
        <v>0.02</v>
      </c>
      <c r="J21" s="10">
        <v>15</v>
      </c>
    </row>
    <row r="22" spans="1:10" s="38" customFormat="1" x14ac:dyDescent="0.25">
      <c r="A22" s="86"/>
      <c r="B22" s="9" t="s">
        <v>14</v>
      </c>
      <c r="C22" s="6" t="s">
        <v>34</v>
      </c>
      <c r="D22" s="6" t="s">
        <v>35</v>
      </c>
      <c r="E22" s="21">
        <v>49.5</v>
      </c>
      <c r="F22" s="8">
        <v>1.91</v>
      </c>
      <c r="G22" s="8">
        <f>229.7*0.495</f>
        <v>113.7015</v>
      </c>
      <c r="H22" s="7">
        <f>6.7*0.495</f>
        <v>3.3165</v>
      </c>
      <c r="I22" s="7">
        <f>1.1*0.495</f>
        <v>0.54449999999999998</v>
      </c>
      <c r="J22" s="11">
        <f>48.3*0.495</f>
        <v>23.9085</v>
      </c>
    </row>
    <row r="23" spans="1:10" s="40" customFormat="1" ht="15.75" thickBot="1" x14ac:dyDescent="0.3">
      <c r="A23" s="87"/>
      <c r="B23" s="12" t="s">
        <v>22</v>
      </c>
      <c r="C23" s="13" t="s">
        <v>37</v>
      </c>
      <c r="D23" s="13" t="s">
        <v>71</v>
      </c>
      <c r="E23" s="22">
        <v>210</v>
      </c>
      <c r="F23" s="23">
        <v>36.54</v>
      </c>
      <c r="G23" s="23">
        <f>47*2.1</f>
        <v>98.7</v>
      </c>
      <c r="H23" s="23">
        <f>0.4*2.1</f>
        <v>0.84000000000000008</v>
      </c>
      <c r="I23" s="23">
        <f>0.3*2.1</f>
        <v>0.63</v>
      </c>
      <c r="J23" s="27">
        <f>10.3*2.1</f>
        <v>21.630000000000003</v>
      </c>
    </row>
    <row r="24" spans="1:10" ht="16.5" thickBot="1" x14ac:dyDescent="0.3">
      <c r="A24" s="84" t="s">
        <v>15</v>
      </c>
      <c r="B24" s="77"/>
      <c r="C24" s="77"/>
      <c r="D24" s="77"/>
      <c r="E24" s="78"/>
      <c r="F24" s="24">
        <f>SUM(F17:F23)</f>
        <v>97.149999999999991</v>
      </c>
      <c r="G24" s="24">
        <f t="shared" ref="G24:J24" si="2">SUM(G17:G23)</f>
        <v>741.01150000000007</v>
      </c>
      <c r="H24" s="24">
        <f t="shared" si="2"/>
        <v>22.360000000000003</v>
      </c>
      <c r="I24" s="24">
        <f t="shared" si="2"/>
        <v>24.183999999999997</v>
      </c>
      <c r="J24" s="24">
        <f t="shared" si="2"/>
        <v>106.43700000000001</v>
      </c>
    </row>
    <row r="25" spans="1:10" s="36" customFormat="1" x14ac:dyDescent="0.25">
      <c r="A25" s="67" t="s">
        <v>31</v>
      </c>
      <c r="B25" s="25" t="s">
        <v>44</v>
      </c>
      <c r="C25" s="26" t="s">
        <v>47</v>
      </c>
      <c r="D25" s="26" t="s">
        <v>48</v>
      </c>
      <c r="E25" s="18">
        <v>200</v>
      </c>
      <c r="F25" s="19">
        <v>21.71</v>
      </c>
      <c r="G25" s="19">
        <v>104</v>
      </c>
      <c r="H25" s="19">
        <v>0.6</v>
      </c>
      <c r="I25" s="19">
        <v>0.2</v>
      </c>
      <c r="J25" s="20">
        <v>23.6</v>
      </c>
    </row>
    <row r="26" spans="1:10" s="36" customFormat="1" ht="15.75" thickBot="1" x14ac:dyDescent="0.3">
      <c r="A26" s="68"/>
      <c r="B26" s="12" t="s">
        <v>46</v>
      </c>
      <c r="C26" s="13" t="s">
        <v>45</v>
      </c>
      <c r="D26" s="13" t="s">
        <v>49</v>
      </c>
      <c r="E26" s="54">
        <v>87</v>
      </c>
      <c r="F26" s="14">
        <v>20.58</v>
      </c>
      <c r="G26" s="55">
        <f>350*0.87</f>
        <v>304.5</v>
      </c>
      <c r="H26" s="55">
        <f>5*0.87</f>
        <v>4.3499999999999996</v>
      </c>
      <c r="I26" s="55">
        <f>6*0.87</f>
        <v>5.22</v>
      </c>
      <c r="J26" s="56">
        <f>69*0.87</f>
        <v>60.03</v>
      </c>
    </row>
    <row r="27" spans="1:10" ht="16.5" thickBot="1" x14ac:dyDescent="0.3">
      <c r="A27" s="64" t="s">
        <v>15</v>
      </c>
      <c r="B27" s="65"/>
      <c r="C27" s="65"/>
      <c r="D27" s="65"/>
      <c r="E27" s="66"/>
      <c r="F27" s="3">
        <f>SUM(F25:F26)</f>
        <v>42.29</v>
      </c>
      <c r="G27" s="3">
        <f>SUM(G25:G26)</f>
        <v>408.5</v>
      </c>
      <c r="H27" s="3">
        <f>SUM(H25:H26)</f>
        <v>4.9499999999999993</v>
      </c>
      <c r="I27" s="3">
        <f>SUM(I25:I26)</f>
        <v>5.42</v>
      </c>
      <c r="J27" s="3">
        <f>SUM(J25:J26)</f>
        <v>83.63</v>
      </c>
    </row>
    <row r="29" spans="1:10" ht="15.75" thickBot="1" x14ac:dyDescent="0.3">
      <c r="A29" s="75" t="s">
        <v>26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5.75" x14ac:dyDescent="0.25">
      <c r="A30" s="28"/>
      <c r="B30" s="28"/>
      <c r="C30" s="74" t="s">
        <v>24</v>
      </c>
      <c r="D30" s="74"/>
      <c r="G30" s="76"/>
      <c r="H30" s="76"/>
      <c r="I30" s="76"/>
      <c r="J30" s="76"/>
    </row>
    <row r="31" spans="1:10" x14ac:dyDescent="0.25">
      <c r="A31" s="1"/>
      <c r="B31" s="1"/>
      <c r="C31" s="1"/>
      <c r="D31" s="1"/>
    </row>
    <row r="32" spans="1:10" ht="15" customHeight="1" x14ac:dyDescent="0.25">
      <c r="A32" s="60" t="s">
        <v>25</v>
      </c>
      <c r="B32" s="60"/>
    </row>
    <row r="33" spans="1:2" ht="15" customHeight="1" x14ac:dyDescent="0.25">
      <c r="A33" s="60" t="s">
        <v>27</v>
      </c>
      <c r="B33" s="60"/>
    </row>
    <row r="34" spans="1:2" x14ac:dyDescent="0.25">
      <c r="A34" s="4"/>
    </row>
  </sheetData>
  <mergeCells count="15">
    <mergeCell ref="B1:C1"/>
    <mergeCell ref="G1:J1"/>
    <mergeCell ref="C30:D30"/>
    <mergeCell ref="A29:J29"/>
    <mergeCell ref="G30:J30"/>
    <mergeCell ref="A10:E10"/>
    <mergeCell ref="A11:A15"/>
    <mergeCell ref="A16:E16"/>
    <mergeCell ref="A24:E24"/>
    <mergeCell ref="A17:A23"/>
    <mergeCell ref="A32:B32"/>
    <mergeCell ref="A33:B33"/>
    <mergeCell ref="A3:A9"/>
    <mergeCell ref="A27:E27"/>
    <mergeCell ref="A25:A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J28" sqref="J28"/>
    </sheetView>
  </sheetViews>
  <sheetFormatPr defaultRowHeight="15" x14ac:dyDescent="0.25"/>
  <cols>
    <col min="1" max="1" width="24" style="2" customWidth="1"/>
    <col min="2" max="2" width="19.140625" style="2" customWidth="1"/>
    <col min="3" max="3" width="12.5703125" style="2" customWidth="1"/>
    <col min="4" max="4" width="50.85546875" style="2" customWidth="1"/>
    <col min="5" max="5" width="9.85546875" style="2" customWidth="1"/>
    <col min="6" max="6" width="9.140625" style="58"/>
    <col min="7" max="7" width="14" style="2" customWidth="1"/>
    <col min="8" max="8" width="11.42578125" style="2" bestFit="1" customWidth="1"/>
    <col min="9" max="9" width="9.140625" style="2"/>
    <col min="10" max="10" width="10.85546875" style="2" customWidth="1"/>
    <col min="11" max="16384" width="9.140625" style="2"/>
  </cols>
  <sheetData>
    <row r="1" spans="1:12" ht="15.75" thickBot="1" x14ac:dyDescent="0.3">
      <c r="A1" s="1" t="s">
        <v>0</v>
      </c>
      <c r="B1" s="69" t="s">
        <v>23</v>
      </c>
      <c r="C1" s="70"/>
      <c r="D1" s="1" t="s">
        <v>1</v>
      </c>
      <c r="E1" s="35"/>
      <c r="F1" s="57" t="s">
        <v>2</v>
      </c>
      <c r="G1" s="71">
        <v>44858</v>
      </c>
      <c r="H1" s="72"/>
      <c r="I1" s="72"/>
      <c r="J1" s="73"/>
      <c r="K1" s="1"/>
      <c r="L1" s="1"/>
    </row>
    <row r="2" spans="1:12" ht="15.75" thickBot="1" x14ac:dyDescent="0.3">
      <c r="A2" s="33" t="s">
        <v>3</v>
      </c>
      <c r="B2" s="5" t="s">
        <v>4</v>
      </c>
      <c r="C2" s="34" t="s">
        <v>5</v>
      </c>
      <c r="D2" s="46" t="s">
        <v>6</v>
      </c>
      <c r="E2" s="46" t="s">
        <v>7</v>
      </c>
      <c r="F2" s="95" t="s">
        <v>8</v>
      </c>
      <c r="G2" s="5" t="s">
        <v>9</v>
      </c>
      <c r="H2" s="5" t="s">
        <v>10</v>
      </c>
      <c r="I2" s="5" t="s">
        <v>11</v>
      </c>
      <c r="J2" s="29" t="s">
        <v>12</v>
      </c>
    </row>
    <row r="3" spans="1:12" ht="15.75" x14ac:dyDescent="0.25">
      <c r="A3" s="89" t="s">
        <v>56</v>
      </c>
      <c r="B3" s="52" t="s">
        <v>32</v>
      </c>
      <c r="C3" s="17" t="s">
        <v>50</v>
      </c>
      <c r="D3" s="17" t="s">
        <v>51</v>
      </c>
      <c r="E3" s="18">
        <v>20</v>
      </c>
      <c r="F3" s="19">
        <v>2.7</v>
      </c>
      <c r="G3" s="19">
        <f>11*0.4</f>
        <v>4.4000000000000004</v>
      </c>
      <c r="H3" s="19">
        <f>0.55*0.4</f>
        <v>0.22000000000000003</v>
      </c>
      <c r="I3" s="19">
        <f>0.1*0.4</f>
        <v>4.0000000000000008E-2</v>
      </c>
      <c r="J3" s="20">
        <f>1.9*0.4</f>
        <v>0.76</v>
      </c>
    </row>
    <row r="4" spans="1:12" x14ac:dyDescent="0.25">
      <c r="A4" s="89"/>
      <c r="B4" s="9" t="s">
        <v>13</v>
      </c>
      <c r="C4" s="6" t="s">
        <v>72</v>
      </c>
      <c r="D4" s="6" t="s">
        <v>73</v>
      </c>
      <c r="E4" s="21">
        <v>65</v>
      </c>
      <c r="F4" s="8">
        <v>43.77</v>
      </c>
      <c r="G4" s="44">
        <f>261*0.65</f>
        <v>169.65</v>
      </c>
      <c r="H4" s="44">
        <f>11*0.65</f>
        <v>7.15</v>
      </c>
      <c r="I4" s="44">
        <f>23.9*0.65</f>
        <v>15.535</v>
      </c>
      <c r="J4" s="45">
        <f>0.4*0.65</f>
        <v>0.26</v>
      </c>
    </row>
    <row r="5" spans="1:12" s="59" customFormat="1" x14ac:dyDescent="0.25">
      <c r="A5" s="89"/>
      <c r="B5" s="9" t="s">
        <v>17</v>
      </c>
      <c r="C5" s="6" t="s">
        <v>52</v>
      </c>
      <c r="D5" s="6" t="s">
        <v>53</v>
      </c>
      <c r="E5" s="21">
        <v>140</v>
      </c>
      <c r="F5" s="8">
        <v>13.06</v>
      </c>
      <c r="G5" s="8">
        <f>1398*0.14</f>
        <v>195.72000000000003</v>
      </c>
      <c r="H5" s="8">
        <f>24.34*0.14</f>
        <v>3.4076000000000004</v>
      </c>
      <c r="I5" s="8">
        <f>35.83*0.14</f>
        <v>5.0162000000000004</v>
      </c>
      <c r="J5" s="10">
        <f>244.56*0.14</f>
        <v>34.238400000000006</v>
      </c>
    </row>
    <row r="6" spans="1:12" x14ac:dyDescent="0.25">
      <c r="A6" s="89"/>
      <c r="B6" s="9" t="s">
        <v>18</v>
      </c>
      <c r="C6" s="6" t="s">
        <v>59</v>
      </c>
      <c r="D6" s="6" t="s">
        <v>60</v>
      </c>
      <c r="E6" s="51">
        <v>200</v>
      </c>
      <c r="F6" s="7">
        <v>9.3699999999999992</v>
      </c>
      <c r="G6" s="47">
        <v>100.6</v>
      </c>
      <c r="H6" s="47">
        <v>3.17</v>
      </c>
      <c r="I6" s="47">
        <v>2.68</v>
      </c>
      <c r="J6" s="48">
        <v>15.95</v>
      </c>
    </row>
    <row r="7" spans="1:12" x14ac:dyDescent="0.25">
      <c r="A7" s="89"/>
      <c r="B7" s="9" t="s">
        <v>21</v>
      </c>
      <c r="C7" s="6" t="s">
        <v>61</v>
      </c>
      <c r="D7" s="6" t="s">
        <v>62</v>
      </c>
      <c r="E7" s="21">
        <v>50</v>
      </c>
      <c r="F7" s="8">
        <v>7.2</v>
      </c>
      <c r="G7" s="8">
        <v>198.6</v>
      </c>
      <c r="H7" s="44">
        <v>4.0999999999999996</v>
      </c>
      <c r="I7" s="44">
        <v>7.7</v>
      </c>
      <c r="J7" s="45">
        <v>28.2</v>
      </c>
    </row>
    <row r="8" spans="1:12" ht="15.75" thickBot="1" x14ac:dyDescent="0.3">
      <c r="A8" s="93"/>
      <c r="B8" s="12" t="s">
        <v>14</v>
      </c>
      <c r="C8" s="13" t="s">
        <v>34</v>
      </c>
      <c r="D8" s="13" t="s">
        <v>35</v>
      </c>
      <c r="E8" s="22">
        <v>23.5</v>
      </c>
      <c r="F8" s="23">
        <v>0.9</v>
      </c>
      <c r="G8" s="23">
        <f>229.7*0.235</f>
        <v>53.979499999999994</v>
      </c>
      <c r="H8" s="14">
        <f>6.7*0.235</f>
        <v>1.5745</v>
      </c>
      <c r="I8" s="14">
        <f>1.1*0.235</f>
        <v>0.25850000000000001</v>
      </c>
      <c r="J8" s="15">
        <f>48.3*0.235</f>
        <v>11.350499999999998</v>
      </c>
    </row>
    <row r="9" spans="1:12" ht="16.5" thickBot="1" x14ac:dyDescent="0.3">
      <c r="A9" s="90" t="s">
        <v>15</v>
      </c>
      <c r="B9" s="77"/>
      <c r="C9" s="77"/>
      <c r="D9" s="77"/>
      <c r="E9" s="78"/>
      <c r="F9" s="24">
        <f>SUM(F3:F8)</f>
        <v>77.000000000000014</v>
      </c>
      <c r="G9" s="24">
        <f>SUM(G3:G8)</f>
        <v>722.94950000000006</v>
      </c>
      <c r="H9" s="24">
        <f>SUM(H3:H8)</f>
        <v>19.6221</v>
      </c>
      <c r="I9" s="24">
        <f>SUM(I3:I8)</f>
        <v>31.229700000000001</v>
      </c>
      <c r="J9" s="24">
        <f>SUM(J3:J8)</f>
        <v>90.758900000000011</v>
      </c>
    </row>
    <row r="10" spans="1:12" s="31" customFormat="1" ht="16.5" thickTop="1" x14ac:dyDescent="0.25">
      <c r="A10" s="88" t="s">
        <v>38</v>
      </c>
      <c r="B10" s="52" t="s">
        <v>32</v>
      </c>
      <c r="C10" s="17" t="s">
        <v>50</v>
      </c>
      <c r="D10" s="17" t="s">
        <v>51</v>
      </c>
      <c r="E10" s="18">
        <v>20</v>
      </c>
      <c r="F10" s="19">
        <v>2.7</v>
      </c>
      <c r="G10" s="19">
        <f>11*0.4</f>
        <v>4.4000000000000004</v>
      </c>
      <c r="H10" s="19">
        <f>0.55*0.4</f>
        <v>0.22000000000000003</v>
      </c>
      <c r="I10" s="19">
        <f>0.1*0.4</f>
        <v>4.0000000000000008E-2</v>
      </c>
      <c r="J10" s="20">
        <f>1.9*0.4</f>
        <v>0.76</v>
      </c>
    </row>
    <row r="11" spans="1:12" s="59" customFormat="1" x14ac:dyDescent="0.25">
      <c r="A11" s="89"/>
      <c r="B11" s="9" t="s">
        <v>13</v>
      </c>
      <c r="C11" s="6" t="s">
        <v>33</v>
      </c>
      <c r="D11" s="6" t="s">
        <v>43</v>
      </c>
      <c r="E11" s="21">
        <v>97</v>
      </c>
      <c r="F11" s="8">
        <v>20.97</v>
      </c>
      <c r="G11" s="8">
        <f>79*2/105*97+66*0</f>
        <v>145.96190476190475</v>
      </c>
      <c r="H11" s="8">
        <f>5.32*2/105*97+0.08*0</f>
        <v>9.8293333333333344</v>
      </c>
      <c r="I11" s="8">
        <f>5.97*2/105*97+7.25*0</f>
        <v>11.030285714285714</v>
      </c>
      <c r="J11" s="10">
        <f>0.95*2/105*97+0.13*0</f>
        <v>1.7552380952380953</v>
      </c>
    </row>
    <row r="12" spans="1:12" s="30" customFormat="1" x14ac:dyDescent="0.25">
      <c r="A12" s="89"/>
      <c r="B12" s="9" t="s">
        <v>18</v>
      </c>
      <c r="C12" s="6" t="s">
        <v>19</v>
      </c>
      <c r="D12" s="6" t="s">
        <v>20</v>
      </c>
      <c r="E12" s="21" t="s">
        <v>36</v>
      </c>
      <c r="F12" s="8">
        <v>2.31</v>
      </c>
      <c r="G12" s="8">
        <v>60</v>
      </c>
      <c r="H12" s="8">
        <v>7.0000000000000007E-2</v>
      </c>
      <c r="I12" s="8">
        <v>0.02</v>
      </c>
      <c r="J12" s="10">
        <v>15</v>
      </c>
    </row>
    <row r="13" spans="1:12" s="30" customFormat="1" ht="15.75" thickBot="1" x14ac:dyDescent="0.3">
      <c r="A13" s="89"/>
      <c r="B13" s="12" t="s">
        <v>14</v>
      </c>
      <c r="C13" s="13" t="s">
        <v>34</v>
      </c>
      <c r="D13" s="13" t="s">
        <v>35</v>
      </c>
      <c r="E13" s="22">
        <v>26.4</v>
      </c>
      <c r="F13" s="23">
        <v>1.02</v>
      </c>
      <c r="G13" s="23">
        <f>229.7*0.264</f>
        <v>60.640799999999999</v>
      </c>
      <c r="H13" s="14">
        <f>6.7*0.264</f>
        <v>1.7688000000000001</v>
      </c>
      <c r="I13" s="14">
        <f>1.1*0.264</f>
        <v>0.29040000000000005</v>
      </c>
      <c r="J13" s="15">
        <f>48.3*0.264</f>
        <v>12.751199999999999</v>
      </c>
    </row>
    <row r="14" spans="1:12" ht="16.5" thickBot="1" x14ac:dyDescent="0.3">
      <c r="A14" s="90" t="s">
        <v>15</v>
      </c>
      <c r="B14" s="77"/>
      <c r="C14" s="77"/>
      <c r="D14" s="77"/>
      <c r="E14" s="78"/>
      <c r="F14" s="24">
        <f>SUM(F10:F13)</f>
        <v>26.999999999999996</v>
      </c>
      <c r="G14" s="24">
        <f>SUM(G10:G13)</f>
        <v>271.00270476190474</v>
      </c>
      <c r="H14" s="24">
        <f>SUM(H10:H13)</f>
        <v>11.888133333333336</v>
      </c>
      <c r="I14" s="24">
        <f>SUM(I10:I13)</f>
        <v>11.380685714285713</v>
      </c>
      <c r="J14" s="24">
        <f>SUM(J10:J13)</f>
        <v>30.266438095238094</v>
      </c>
    </row>
    <row r="15" spans="1:12" ht="28.5" customHeight="1" thickTop="1" x14ac:dyDescent="0.25">
      <c r="A15" s="88" t="s">
        <v>40</v>
      </c>
      <c r="B15" s="25" t="s">
        <v>18</v>
      </c>
      <c r="C15" s="26" t="s">
        <v>19</v>
      </c>
      <c r="D15" s="26" t="s">
        <v>20</v>
      </c>
      <c r="E15" s="18" t="s">
        <v>36</v>
      </c>
      <c r="F15" s="19">
        <v>2.31</v>
      </c>
      <c r="G15" s="19">
        <v>60</v>
      </c>
      <c r="H15" s="19">
        <v>7.0000000000000007E-2</v>
      </c>
      <c r="I15" s="19">
        <v>0.02</v>
      </c>
      <c r="J15" s="20">
        <v>15</v>
      </c>
    </row>
    <row r="16" spans="1:12" ht="32.25" customHeight="1" thickBot="1" x14ac:dyDescent="0.3">
      <c r="A16" s="89"/>
      <c r="B16" s="12" t="s">
        <v>46</v>
      </c>
      <c r="C16" s="13" t="s">
        <v>45</v>
      </c>
      <c r="D16" s="13" t="s">
        <v>55</v>
      </c>
      <c r="E16" s="22">
        <v>21</v>
      </c>
      <c r="F16" s="23">
        <v>4.6900000000000004</v>
      </c>
      <c r="G16" s="23">
        <f>410*0.21</f>
        <v>86.1</v>
      </c>
      <c r="H16" s="23">
        <f>7*0.21</f>
        <v>1.47</v>
      </c>
      <c r="I16" s="23">
        <f>10*0.21</f>
        <v>2.1</v>
      </c>
      <c r="J16" s="27">
        <f>74*0.21</f>
        <v>15.54</v>
      </c>
    </row>
    <row r="17" spans="1:10" ht="16.5" thickBot="1" x14ac:dyDescent="0.3">
      <c r="A17" s="90" t="s">
        <v>15</v>
      </c>
      <c r="B17" s="77"/>
      <c r="C17" s="77"/>
      <c r="D17" s="77"/>
      <c r="E17" s="78"/>
      <c r="F17" s="24">
        <f>SUM(F15:F16)</f>
        <v>7</v>
      </c>
      <c r="G17" s="24">
        <f t="shared" ref="G17:J17" si="0">SUM(G15:G16)</f>
        <v>146.1</v>
      </c>
      <c r="H17" s="24">
        <f t="shared" si="0"/>
        <v>1.54</v>
      </c>
      <c r="I17" s="24">
        <f t="shared" si="0"/>
        <v>2.12</v>
      </c>
      <c r="J17" s="24">
        <f t="shared" si="0"/>
        <v>30.54</v>
      </c>
    </row>
    <row r="18" spans="1:10" x14ac:dyDescent="0.25">
      <c r="A18" s="79" t="s">
        <v>39</v>
      </c>
      <c r="B18" s="25" t="s">
        <v>16</v>
      </c>
      <c r="C18" s="26" t="s">
        <v>70</v>
      </c>
      <c r="D18" s="26" t="s">
        <v>69</v>
      </c>
      <c r="E18" s="18" t="s">
        <v>41</v>
      </c>
      <c r="F18" s="19">
        <v>6.96</v>
      </c>
      <c r="G18" s="19">
        <f>343*0.25</f>
        <v>85.75</v>
      </c>
      <c r="H18" s="19">
        <f>7.89*0.25</f>
        <v>1.9724999999999999</v>
      </c>
      <c r="I18" s="19">
        <f>10.85*0.25</f>
        <v>2.7124999999999999</v>
      </c>
      <c r="J18" s="20">
        <f>48.45*0.25</f>
        <v>12.112500000000001</v>
      </c>
    </row>
    <row r="19" spans="1:10" x14ac:dyDescent="0.25">
      <c r="A19" s="80"/>
      <c r="B19" s="9" t="s">
        <v>13</v>
      </c>
      <c r="C19" s="6" t="s">
        <v>65</v>
      </c>
      <c r="D19" s="6" t="s">
        <v>66</v>
      </c>
      <c r="E19" s="21">
        <v>50</v>
      </c>
      <c r="F19" s="8">
        <v>22.61</v>
      </c>
      <c r="G19" s="44">
        <f>161/50*50</f>
        <v>161</v>
      </c>
      <c r="H19" s="44">
        <f>7.61/50*50</f>
        <v>7.61</v>
      </c>
      <c r="I19" s="44">
        <f>11.07/50*50</f>
        <v>11.07</v>
      </c>
      <c r="J19" s="45">
        <f>7.66/50*50</f>
        <v>7.66</v>
      </c>
    </row>
    <row r="20" spans="1:10" x14ac:dyDescent="0.25">
      <c r="A20" s="80"/>
      <c r="B20" s="9" t="s">
        <v>17</v>
      </c>
      <c r="C20" s="6" t="s">
        <v>67</v>
      </c>
      <c r="D20" s="6" t="s">
        <v>68</v>
      </c>
      <c r="E20" s="21">
        <v>120</v>
      </c>
      <c r="F20" s="8">
        <v>11.47</v>
      </c>
      <c r="G20" s="49">
        <f>112.3*1.2</f>
        <v>134.76</v>
      </c>
      <c r="H20" s="49">
        <f>3.68*1.2</f>
        <v>4.4160000000000004</v>
      </c>
      <c r="I20" s="49">
        <f>3.01*1.2</f>
        <v>3.6119999999999997</v>
      </c>
      <c r="J20" s="50">
        <f>17.63*1.2</f>
        <v>21.155999999999999</v>
      </c>
    </row>
    <row r="21" spans="1:10" x14ac:dyDescent="0.25">
      <c r="A21" s="80"/>
      <c r="B21" s="9" t="s">
        <v>18</v>
      </c>
      <c r="C21" s="6" t="s">
        <v>19</v>
      </c>
      <c r="D21" s="6" t="s">
        <v>20</v>
      </c>
      <c r="E21" s="21" t="s">
        <v>36</v>
      </c>
      <c r="F21" s="8">
        <v>2.31</v>
      </c>
      <c r="G21" s="8">
        <v>60</v>
      </c>
      <c r="H21" s="8">
        <v>7.0000000000000007E-2</v>
      </c>
      <c r="I21" s="8">
        <v>0.02</v>
      </c>
      <c r="J21" s="10">
        <v>15</v>
      </c>
    </row>
    <row r="22" spans="1:10" ht="15.75" thickBot="1" x14ac:dyDescent="0.3">
      <c r="A22" s="80"/>
      <c r="B22" s="12" t="s">
        <v>14</v>
      </c>
      <c r="C22" s="13" t="s">
        <v>34</v>
      </c>
      <c r="D22" s="13" t="s">
        <v>35</v>
      </c>
      <c r="E22" s="22">
        <v>42.5</v>
      </c>
      <c r="F22" s="23">
        <v>1.65</v>
      </c>
      <c r="G22" s="23">
        <f>229.7*0.425</f>
        <v>97.622499999999988</v>
      </c>
      <c r="H22" s="14">
        <f>6.7*0.425</f>
        <v>2.8475000000000001</v>
      </c>
      <c r="I22" s="14">
        <f>1.1*0.425</f>
        <v>0.46750000000000003</v>
      </c>
      <c r="J22" s="15">
        <f>48.3*0.425</f>
        <v>20.5275</v>
      </c>
    </row>
    <row r="23" spans="1:10" ht="16.5" thickBot="1" x14ac:dyDescent="0.3">
      <c r="A23" s="81" t="s">
        <v>15</v>
      </c>
      <c r="B23" s="82"/>
      <c r="C23" s="82"/>
      <c r="D23" s="82"/>
      <c r="E23" s="83"/>
      <c r="F23" s="39">
        <f>SUM(F18:F22)</f>
        <v>45</v>
      </c>
      <c r="G23" s="39">
        <f t="shared" ref="G23:J23" si="1">SUM(G18:G22)</f>
        <v>539.13249999999994</v>
      </c>
      <c r="H23" s="39">
        <f t="shared" si="1"/>
        <v>16.916</v>
      </c>
      <c r="I23" s="39">
        <f t="shared" si="1"/>
        <v>17.882000000000001</v>
      </c>
      <c r="J23" s="39">
        <f t="shared" si="1"/>
        <v>76.456000000000003</v>
      </c>
    </row>
    <row r="24" spans="1:10" ht="15.75" x14ac:dyDescent="0.25">
      <c r="A24" s="80" t="s">
        <v>57</v>
      </c>
      <c r="B24" s="52" t="s">
        <v>32</v>
      </c>
      <c r="C24" s="17" t="s">
        <v>50</v>
      </c>
      <c r="D24" s="17" t="s">
        <v>51</v>
      </c>
      <c r="E24" s="18">
        <v>30</v>
      </c>
      <c r="F24" s="19">
        <v>4.05</v>
      </c>
      <c r="G24" s="19">
        <f>11/50*30</f>
        <v>6.6</v>
      </c>
      <c r="H24" s="19">
        <f>0.55/50*30</f>
        <v>0.33</v>
      </c>
      <c r="I24" s="19">
        <f>0.1/50*30</f>
        <v>0.06</v>
      </c>
      <c r="J24" s="20">
        <f>1.9/50*30</f>
        <v>1.1399999999999999</v>
      </c>
    </row>
    <row r="25" spans="1:10" x14ac:dyDescent="0.25">
      <c r="A25" s="80"/>
      <c r="B25" s="9" t="s">
        <v>16</v>
      </c>
      <c r="C25" s="6" t="s">
        <v>70</v>
      </c>
      <c r="D25" s="6" t="s">
        <v>69</v>
      </c>
      <c r="E25" s="21" t="s">
        <v>41</v>
      </c>
      <c r="F25" s="8">
        <v>6.96</v>
      </c>
      <c r="G25" s="8">
        <f>343*0.25</f>
        <v>85.75</v>
      </c>
      <c r="H25" s="8">
        <f>7.89*0.25</f>
        <v>1.9724999999999999</v>
      </c>
      <c r="I25" s="8">
        <f>10.85*0.25</f>
        <v>2.7124999999999999</v>
      </c>
      <c r="J25" s="10">
        <f>48.45*0.25</f>
        <v>12.112500000000001</v>
      </c>
    </row>
    <row r="26" spans="1:10" x14ac:dyDescent="0.25">
      <c r="A26" s="80"/>
      <c r="B26" s="9" t="s">
        <v>13</v>
      </c>
      <c r="C26" s="6" t="s">
        <v>65</v>
      </c>
      <c r="D26" s="6" t="s">
        <v>66</v>
      </c>
      <c r="E26" s="21">
        <v>75</v>
      </c>
      <c r="F26" s="8">
        <v>33.909999999999997</v>
      </c>
      <c r="G26" s="44">
        <f>161/50*75</f>
        <v>241.50000000000003</v>
      </c>
      <c r="H26" s="44">
        <f>7.61/50*75</f>
        <v>11.415000000000001</v>
      </c>
      <c r="I26" s="44">
        <f>11.07/50*75</f>
        <v>16.605</v>
      </c>
      <c r="J26" s="45">
        <f>7.66/50*75</f>
        <v>11.49</v>
      </c>
    </row>
    <row r="27" spans="1:10" x14ac:dyDescent="0.25">
      <c r="A27" s="80"/>
      <c r="B27" s="9" t="s">
        <v>17</v>
      </c>
      <c r="C27" s="6" t="s">
        <v>67</v>
      </c>
      <c r="D27" s="6" t="s">
        <v>68</v>
      </c>
      <c r="E27" s="21">
        <v>150</v>
      </c>
      <c r="F27" s="8">
        <v>14.34</v>
      </c>
      <c r="G27" s="49">
        <f>112.3*1.5</f>
        <v>168.45</v>
      </c>
      <c r="H27" s="49">
        <f>3.68*1.5</f>
        <v>5.5200000000000005</v>
      </c>
      <c r="I27" s="49">
        <f>3.01*1.5</f>
        <v>4.5149999999999997</v>
      </c>
      <c r="J27" s="50">
        <f>17.63*1.5</f>
        <v>26.445</v>
      </c>
    </row>
    <row r="28" spans="1:10" s="37" customFormat="1" x14ac:dyDescent="0.25">
      <c r="A28" s="80"/>
      <c r="B28" s="9" t="s">
        <v>18</v>
      </c>
      <c r="C28" s="6" t="s">
        <v>19</v>
      </c>
      <c r="D28" s="6" t="s">
        <v>20</v>
      </c>
      <c r="E28" s="21" t="s">
        <v>36</v>
      </c>
      <c r="F28" s="8">
        <v>2.31</v>
      </c>
      <c r="G28" s="8">
        <v>60</v>
      </c>
      <c r="H28" s="8">
        <v>7.0000000000000007E-2</v>
      </c>
      <c r="I28" s="8">
        <v>0.02</v>
      </c>
      <c r="J28" s="10">
        <v>15</v>
      </c>
    </row>
    <row r="29" spans="1:10" s="42" customFormat="1" ht="15.75" x14ac:dyDescent="0.25">
      <c r="A29" s="80"/>
      <c r="B29" s="9" t="s">
        <v>21</v>
      </c>
      <c r="C29" s="94" t="s">
        <v>74</v>
      </c>
      <c r="D29" s="96" t="s">
        <v>75</v>
      </c>
      <c r="E29" s="21">
        <v>30</v>
      </c>
      <c r="F29" s="8">
        <v>13.63</v>
      </c>
      <c r="G29" s="47">
        <f>192.8/90*30</f>
        <v>64.266666666666666</v>
      </c>
      <c r="H29" s="44">
        <f>2.9/9*3</f>
        <v>0.96666666666666656</v>
      </c>
      <c r="I29" s="44">
        <f>7.6/9*3</f>
        <v>2.5333333333333332</v>
      </c>
      <c r="J29" s="45">
        <f>28.3/9*3</f>
        <v>9.4333333333333336</v>
      </c>
    </row>
    <row r="30" spans="1:10" s="40" customFormat="1" ht="15.75" thickBot="1" x14ac:dyDescent="0.3">
      <c r="A30" s="80"/>
      <c r="B30" s="12" t="s">
        <v>14</v>
      </c>
      <c r="C30" s="13" t="s">
        <v>34</v>
      </c>
      <c r="D30" s="13" t="s">
        <v>35</v>
      </c>
      <c r="E30" s="22">
        <v>46.5</v>
      </c>
      <c r="F30" s="23">
        <v>1.8</v>
      </c>
      <c r="G30" s="23">
        <f>229.7*0.465</f>
        <v>106.8105</v>
      </c>
      <c r="H30" s="14">
        <f>6.7*0.465</f>
        <v>3.1155000000000004</v>
      </c>
      <c r="I30" s="14">
        <f>1.1*0.465</f>
        <v>0.51150000000000007</v>
      </c>
      <c r="J30" s="15">
        <f>48.3*0.465</f>
        <v>22.459499999999998</v>
      </c>
    </row>
    <row r="31" spans="1:10" ht="16.5" thickBot="1" x14ac:dyDescent="0.3">
      <c r="A31" s="81" t="s">
        <v>15</v>
      </c>
      <c r="B31" s="91"/>
      <c r="C31" s="91"/>
      <c r="D31" s="91"/>
      <c r="E31" s="92"/>
      <c r="F31" s="41">
        <f>SUM(F24:F30)</f>
        <v>76.999999999999986</v>
      </c>
      <c r="G31" s="41">
        <f>SUM(G24:G30)</f>
        <v>733.37716666666665</v>
      </c>
      <c r="H31" s="41">
        <f>SUM(H24:H30)</f>
        <v>23.389666666666667</v>
      </c>
      <c r="I31" s="41">
        <f>SUM(I24:I30)</f>
        <v>26.957333333333334</v>
      </c>
      <c r="J31" s="41">
        <f>SUM(J24:J30)</f>
        <v>98.080333333333328</v>
      </c>
    </row>
    <row r="33" spans="1:10" ht="15.75" thickBot="1" x14ac:dyDescent="0.3">
      <c r="A33" s="75" t="s">
        <v>26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15.75" x14ac:dyDescent="0.25">
      <c r="A34" s="28"/>
      <c r="B34" s="28"/>
      <c r="C34" s="74" t="s">
        <v>24</v>
      </c>
      <c r="D34" s="74"/>
      <c r="G34" s="76"/>
      <c r="H34" s="76"/>
      <c r="I34" s="76"/>
      <c r="J34" s="76"/>
    </row>
    <row r="35" spans="1:10" x14ac:dyDescent="0.25">
      <c r="A35" s="1"/>
      <c r="B35" s="1"/>
      <c r="C35" s="1"/>
      <c r="D35" s="1"/>
    </row>
    <row r="36" spans="1:10" x14ac:dyDescent="0.25">
      <c r="A36" s="60" t="s">
        <v>25</v>
      </c>
      <c r="B36" s="60"/>
    </row>
    <row r="37" spans="1:10" x14ac:dyDescent="0.25">
      <c r="A37" s="60" t="s">
        <v>27</v>
      </c>
      <c r="B37" s="60"/>
    </row>
    <row r="38" spans="1:10" x14ac:dyDescent="0.25">
      <c r="A38" s="4"/>
    </row>
  </sheetData>
  <mergeCells count="17">
    <mergeCell ref="B1:C1"/>
    <mergeCell ref="G1:J1"/>
    <mergeCell ref="A3:A8"/>
    <mergeCell ref="A9:E9"/>
    <mergeCell ref="A18:A22"/>
    <mergeCell ref="A36:B36"/>
    <mergeCell ref="A37:B37"/>
    <mergeCell ref="A10:A13"/>
    <mergeCell ref="A14:E14"/>
    <mergeCell ref="A15:A16"/>
    <mergeCell ref="A17:E17"/>
    <mergeCell ref="A24:A30"/>
    <mergeCell ref="A31:E31"/>
    <mergeCell ref="A33:J33"/>
    <mergeCell ref="C34:D34"/>
    <mergeCell ref="G34:J34"/>
    <mergeCell ref="A23:E2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</vt:lpstr>
      <vt:lpstr>5-11 кл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2022-10-21T11:14:01Z</dcterms:modified>
</cp:coreProperties>
</file>