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G52" i="1"/>
  <c r="F52" i="1"/>
  <c r="J51" i="1"/>
  <c r="I51" i="1"/>
  <c r="H51" i="1"/>
  <c r="G51" i="1"/>
  <c r="J49" i="1"/>
  <c r="I49" i="1"/>
  <c r="H49" i="1"/>
  <c r="G49" i="1"/>
  <c r="J48" i="1"/>
  <c r="J52" i="1" s="1"/>
  <c r="I48" i="1"/>
  <c r="H48" i="1"/>
  <c r="H52" i="1" s="1"/>
  <c r="G48" i="1"/>
  <c r="J46" i="1"/>
  <c r="H46" i="1"/>
  <c r="F46" i="1"/>
  <c r="J45" i="1"/>
  <c r="I45" i="1"/>
  <c r="I46" i="1" s="1"/>
  <c r="H45" i="1"/>
  <c r="G45" i="1"/>
  <c r="G46" i="1" s="1"/>
  <c r="I43" i="1"/>
  <c r="G43" i="1"/>
  <c r="F43" i="1"/>
  <c r="J42" i="1"/>
  <c r="I42" i="1"/>
  <c r="H42" i="1"/>
  <c r="G42" i="1"/>
  <c r="J40" i="1"/>
  <c r="I40" i="1"/>
  <c r="H40" i="1"/>
  <c r="G40" i="1"/>
  <c r="J39" i="1"/>
  <c r="J43" i="1" s="1"/>
  <c r="I39" i="1"/>
  <c r="H39" i="1"/>
  <c r="H43" i="1" s="1"/>
  <c r="G39" i="1"/>
  <c r="J38" i="1"/>
  <c r="H38" i="1"/>
  <c r="F38" i="1"/>
  <c r="J37" i="1"/>
  <c r="I37" i="1"/>
  <c r="H37" i="1"/>
  <c r="G37" i="1"/>
  <c r="J35" i="1"/>
  <c r="I35" i="1"/>
  <c r="H35" i="1"/>
  <c r="G35" i="1"/>
  <c r="J34" i="1"/>
  <c r="I34" i="1"/>
  <c r="I38" i="1" s="1"/>
  <c r="H34" i="1"/>
  <c r="G34" i="1"/>
  <c r="G38" i="1" s="1"/>
  <c r="I33" i="1"/>
  <c r="G33" i="1"/>
  <c r="F33" i="1"/>
  <c r="J32" i="1"/>
  <c r="I32" i="1"/>
  <c r="H32" i="1"/>
  <c r="G32" i="1"/>
  <c r="J29" i="1"/>
  <c r="I29" i="1"/>
  <c r="H29" i="1"/>
  <c r="G29" i="1"/>
  <c r="J28" i="1"/>
  <c r="I28" i="1"/>
  <c r="H28" i="1"/>
  <c r="G28" i="1"/>
  <c r="J27" i="1"/>
  <c r="J33" i="1" s="1"/>
  <c r="I27" i="1"/>
  <c r="H27" i="1"/>
  <c r="H33" i="1" s="1"/>
  <c r="G27" i="1"/>
  <c r="J25" i="1" l="1"/>
  <c r="I25" i="1"/>
  <c r="H25" i="1"/>
  <c r="G25" i="1"/>
  <c r="J14" i="1"/>
  <c r="I14" i="1"/>
  <c r="H14" i="1"/>
  <c r="G14" i="1"/>
  <c r="J11" i="1"/>
  <c r="I11" i="1"/>
  <c r="H11" i="1"/>
  <c r="G11" i="1"/>
  <c r="J22" i="1"/>
  <c r="I22" i="1"/>
  <c r="H22" i="1"/>
  <c r="G22" i="1"/>
  <c r="J16" i="1" l="1"/>
  <c r="I16" i="1"/>
  <c r="H16" i="1"/>
  <c r="G16" i="1"/>
  <c r="J8" i="1"/>
  <c r="I8" i="1"/>
  <c r="H8" i="1"/>
  <c r="G8" i="1"/>
  <c r="G4" i="1" l="1"/>
  <c r="J4" i="1"/>
  <c r="I4" i="1"/>
  <c r="H4" i="1"/>
  <c r="J3" i="1"/>
  <c r="H3" i="1"/>
  <c r="I3" i="1"/>
  <c r="G3" i="1"/>
  <c r="F23" i="1" l="1"/>
  <c r="J19" i="1" l="1"/>
  <c r="I19" i="1"/>
  <c r="H19" i="1"/>
  <c r="G19" i="1"/>
  <c r="J12" i="1"/>
  <c r="I12" i="1"/>
  <c r="H12" i="1"/>
  <c r="G12" i="1"/>
  <c r="J18" i="1" l="1"/>
  <c r="J23" i="1" s="1"/>
  <c r="I18" i="1"/>
  <c r="I23" i="1" s="1"/>
  <c r="H18" i="1"/>
  <c r="H23" i="1" s="1"/>
  <c r="G18" i="1"/>
  <c r="G23" i="1" s="1"/>
  <c r="J5" i="1" l="1"/>
  <c r="I5" i="1"/>
  <c r="H5" i="1"/>
  <c r="G5" i="1"/>
  <c r="F15" i="1" l="1"/>
  <c r="F9" i="1" l="1"/>
  <c r="J9" i="1"/>
  <c r="I9" i="1"/>
  <c r="H9" i="1"/>
  <c r="G9" i="1"/>
  <c r="J15" i="1" l="1"/>
  <c r="I15" i="1"/>
  <c r="H15" i="1"/>
  <c r="G15" i="1"/>
  <c r="F26" i="1"/>
  <c r="J26" i="1"/>
  <c r="I26" i="1"/>
  <c r="H26" i="1"/>
  <c r="G26" i="1"/>
</calcChain>
</file>

<file path=xl/sharedStrings.xml><?xml version="1.0" encoding="utf-8"?>
<sst xmlns="http://schemas.openxmlformats.org/spreadsheetml/2006/main" count="170" uniqueCount="76">
  <si>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</si>
  <si>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</si>
  <si>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</si>
  <si>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</si>
  <si>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</si>
  <si>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</si>
  <si>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</si>
  <si>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</si>
  <si>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</si>
  <si>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</si>
  <si>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</si>
  <si>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</si>
  <si>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</si>
  <si>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</si>
  <si>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</si>
  <si>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</si>
  <si>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</si>
  <si>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</si>
  <si>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</si>
  <si>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</si>
  <si>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</si>
  <si>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</si>
  <si>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</si>
  <si>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</si>
  <si>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</si>
  <si>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</si>
  <si>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</si>
  <si>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</si>
  <si>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</si>
  <si>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</si>
  <si>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</si>
  <si>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</si>
  <si>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</si>
  <si>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</si>
  <si>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</si>
  <si>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</si>
  <si>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</si>
  <si>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</si>
  <si>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№309-2015г.</t>
  </si>
  <si>
    <t>Кондитерское изделие</t>
  </si>
  <si>
    <t>ПР</t>
  </si>
  <si>
    <t>№71-2015г.</t>
  </si>
  <si>
    <t>Пюре картофельное</t>
  </si>
  <si>
    <t>№312-2015г.</t>
  </si>
  <si>
    <t>250/10/2</t>
  </si>
  <si>
    <t>Макароны отварные</t>
  </si>
  <si>
    <t>Овощи натуральные свежие (помидоры)</t>
  </si>
  <si>
    <t>Напиток</t>
  </si>
  <si>
    <t>№52-2015г.</t>
  </si>
  <si>
    <t>ТТК №48</t>
  </si>
  <si>
    <t>40/40</t>
  </si>
  <si>
    <t>№389-2015г.</t>
  </si>
  <si>
    <t>Завтрак 5-11 кл с доплатой 70,00 руб. и льготники с доплатой 50,00 руб. 1 смена</t>
  </si>
  <si>
    <t>№306-2015г.</t>
  </si>
  <si>
    <t>Молочный коктейль "Авишка" 2,5 %</t>
  </si>
  <si>
    <t>ТТК №22</t>
  </si>
  <si>
    <t>Салат из свеклы отварной</t>
  </si>
  <si>
    <t>Зефир фруктовый</t>
  </si>
  <si>
    <t>Бобовые отварные (горошек зелёный консервированный)</t>
  </si>
  <si>
    <t>Котлета "Дальневосточная"</t>
  </si>
  <si>
    <t>Сок фруктовый "Джустик"</t>
  </si>
  <si>
    <t>№82-2015г.</t>
  </si>
  <si>
    <t>Борщ со свежей капустой и картофелем со сметаной и зеленью</t>
  </si>
  <si>
    <t>Филе индейки тушёное</t>
  </si>
  <si>
    <t>№388-2015г.</t>
  </si>
  <si>
    <t>Напиток из плодов шиповника</t>
  </si>
  <si>
    <t>15/15</t>
  </si>
  <si>
    <t>№425-2015г.</t>
  </si>
  <si>
    <t>Булочка дорожная</t>
  </si>
  <si>
    <t>№15-2015г.</t>
  </si>
  <si>
    <t>Сыр</t>
  </si>
  <si>
    <t>Печенье "Сахарное"</t>
  </si>
  <si>
    <t>Завтрак 5-11 кл с доплатой 70,00 руб. и льготники с доплатой 50,00 руб. (2-й вариант)</t>
  </si>
  <si>
    <t>Сок фруктовый "Гость"</t>
  </si>
  <si>
    <t>№243-2015г.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</si>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</sst>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2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/>
    <xf numFmtId="2" fontId="6" fillId="0" borderId="2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2" fontId="5" fillId="0" borderId="15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6" fillId="0" borderId="7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2" fontId="6" fillId="0" borderId="21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2" fontId="5" fillId="0" borderId="15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/>
    <xf numFmtId="0" fontId="5" fillId="0" borderId="28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4" fontId="5" fillId="0" borderId="4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2" fontId="9" fillId="0" borderId="4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0" xfId="0" applyFont="1"/>
    <xf numFmtId="0" fontId="11" fillId="0" borderId="4" xfId="1" applyFont="1" applyBorder="1" applyAlignment="1">
      <alignment vertical="center" wrapText="1"/>
    </xf>
    <xf numFmtId="2" fontId="9" fillId="0" borderId="12" xfId="1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2" fontId="6" fillId="0" borderId="29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8" xfId="0" applyFont="1" applyBorder="1" applyAlignment="1">
      <alignment horizontal="right" vertical="center" wrapText="1"/>
    </xf>
    <xf numFmtId="2" fontId="5" fillId="0" borderId="38" xfId="0" applyNumberFormat="1" applyFont="1" applyBorder="1" applyAlignment="1">
      <alignment horizontal="right" vertical="center" wrapText="1"/>
    </xf>
    <xf numFmtId="2" fontId="5" fillId="0" borderId="39" xfId="0" applyNumberFormat="1" applyFont="1" applyBorder="1" applyAlignment="1">
      <alignment horizontal="right" vertical="center" wrapText="1"/>
    </xf>
    <xf numFmtId="0" fontId="5" fillId="0" borderId="0" xfId="0" applyFont="1"/>
    <xf numFmtId="0" fontId="13" fillId="0" borderId="4" xfId="6" applyNumberFormat="1" applyFont="1" applyBorder="1" applyAlignment="1">
      <alignment horizontal="left" vertical="center" wrapText="1"/>
    </xf>
    <xf numFmtId="0" fontId="5" fillId="0" borderId="4" xfId="7" applyFont="1" applyBorder="1" applyAlignment="1">
      <alignment vertical="center" wrapText="1"/>
    </xf>
    <xf numFmtId="4" fontId="13" fillId="0" borderId="4" xfId="6" applyNumberFormat="1" applyFont="1" applyBorder="1" applyAlignment="1">
      <alignment horizontal="right" vertical="center"/>
    </xf>
    <xf numFmtId="4" fontId="5" fillId="0" borderId="4" xfId="7" applyNumberFormat="1" applyFont="1" applyBorder="1" applyAlignment="1">
      <alignment horizontal="right" vertical="center" wrapText="1"/>
    </xf>
    <xf numFmtId="4" fontId="5" fillId="0" borderId="12" xfId="7" applyNumberFormat="1" applyFont="1" applyBorder="1" applyAlignment="1">
      <alignment horizontal="right" vertical="center" wrapText="1"/>
    </xf>
    <xf numFmtId="0" fontId="5" fillId="0" borderId="0" xfId="0" applyFont="1"/>
    <xf numFmtId="0" fontId="9" fillId="0" borderId="9" xfId="1" applyFont="1" applyBorder="1" applyAlignment="1">
      <alignment vertical="center" wrapText="1"/>
    </xf>
    <xf numFmtId="2" fontId="9" fillId="0" borderId="9" xfId="1" applyNumberFormat="1" applyFont="1" applyBorder="1" applyAlignment="1">
      <alignment horizontal="right" vertical="center" wrapText="1"/>
    </xf>
    <xf numFmtId="2" fontId="9" fillId="0" borderId="10" xfId="1" applyNumberFormat="1" applyFont="1" applyBorder="1" applyAlignment="1">
      <alignment horizontal="right" vertical="center" wrapText="1"/>
    </xf>
    <xf numFmtId="0" fontId="9" fillId="0" borderId="4" xfId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2" fontId="9" fillId="0" borderId="9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4 2" xfId="8"/>
    <cellStyle name="Обычный 2 5" xfId="5"/>
    <cellStyle name="Обычный 2 6" xfId="7"/>
    <cellStyle name="Обычный 2 7" xfId="9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A27" sqref="A27:J58"/>
    </sheetView>
  </sheetViews>
  <sheetFormatPr defaultRowHeight="15" x14ac:dyDescent="0.25"/>
  <cols>
    <col min="1" max="1" width="20.140625" style="74" customWidth="1"/>
    <col min="2" max="2" width="24.7109375" style="2" customWidth="1"/>
    <col min="3" max="3" width="14.8554687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73" t="s">
        <v>0</v>
      </c>
      <c r="B1" s="75" t="s">
        <v>22</v>
      </c>
      <c r="C1" s="76"/>
      <c r="D1" s="1" t="s">
        <v>1</v>
      </c>
      <c r="E1" s="26"/>
      <c r="F1" s="1" t="s">
        <v>2</v>
      </c>
      <c r="G1" s="77">
        <v>44889</v>
      </c>
      <c r="H1" s="78"/>
      <c r="I1" s="78"/>
      <c r="J1" s="79"/>
      <c r="K1" s="1"/>
      <c r="L1" s="1"/>
    </row>
    <row r="2" spans="1:12" ht="15.75" thickBot="1" x14ac:dyDescent="0.3">
      <c r="A2" s="30" t="s">
        <v>3</v>
      </c>
      <c r="B2" s="4" t="s">
        <v>4</v>
      </c>
      <c r="C2" s="31" t="s">
        <v>5</v>
      </c>
      <c r="D2" s="34" t="s">
        <v>6</v>
      </c>
      <c r="E2" s="34" t="s">
        <v>7</v>
      </c>
      <c r="F2" s="34" t="s">
        <v>8</v>
      </c>
      <c r="G2" s="4" t="s">
        <v>9</v>
      </c>
      <c r="H2" s="4" t="s">
        <v>10</v>
      </c>
      <c r="I2" s="4" t="s">
        <v>11</v>
      </c>
      <c r="J2" s="32" t="s">
        <v>12</v>
      </c>
    </row>
    <row r="3" spans="1:12" ht="15" customHeight="1" x14ac:dyDescent="0.25">
      <c r="A3" s="93" t="s">
        <v>27</v>
      </c>
      <c r="B3" s="49" t="s">
        <v>31</v>
      </c>
      <c r="C3" s="41" t="s">
        <v>48</v>
      </c>
      <c r="D3" s="41" t="s">
        <v>56</v>
      </c>
      <c r="E3" s="13">
        <v>60</v>
      </c>
      <c r="F3" s="13">
        <v>4.91</v>
      </c>
      <c r="G3" s="14">
        <f>928*0.06+63*0</f>
        <v>55.68</v>
      </c>
      <c r="H3" s="14">
        <f>14.08*0.06</f>
        <v>0.8448</v>
      </c>
      <c r="I3" s="14">
        <f>60.12*0.06</f>
        <v>3.6071999999999997</v>
      </c>
      <c r="J3" s="15">
        <f>82.6*0.06</f>
        <v>4.9559999999999995</v>
      </c>
    </row>
    <row r="4" spans="1:12" s="37" customFormat="1" ht="15" customHeight="1" x14ac:dyDescent="0.25">
      <c r="A4" s="93"/>
      <c r="B4" s="7" t="s">
        <v>13</v>
      </c>
      <c r="C4" s="63" t="s">
        <v>55</v>
      </c>
      <c r="D4" s="64" t="s">
        <v>59</v>
      </c>
      <c r="E4" s="16">
        <v>80</v>
      </c>
      <c r="F4" s="6">
        <v>39.229999999999997</v>
      </c>
      <c r="G4" s="65">
        <f>197.7/75*80</f>
        <v>210.87999999999997</v>
      </c>
      <c r="H4" s="66">
        <f>8.9/75*80</f>
        <v>9.4933333333333341</v>
      </c>
      <c r="I4" s="66">
        <f>12.4/75*80</f>
        <v>13.226666666666667</v>
      </c>
      <c r="J4" s="67">
        <f>12.6/75*80</f>
        <v>13.439999999999998</v>
      </c>
    </row>
    <row r="5" spans="1:12" s="45" customFormat="1" ht="15.75" x14ac:dyDescent="0.25">
      <c r="A5" s="93"/>
      <c r="B5" s="7" t="s">
        <v>17</v>
      </c>
      <c r="C5" s="44" t="s">
        <v>43</v>
      </c>
      <c r="D5" s="46" t="s">
        <v>42</v>
      </c>
      <c r="E5" s="16">
        <v>150</v>
      </c>
      <c r="F5" s="6">
        <v>15.28</v>
      </c>
      <c r="G5" s="43">
        <f>915*0.15</f>
        <v>137.25</v>
      </c>
      <c r="H5" s="43">
        <f>20.43*0.15</f>
        <v>3.0644999999999998</v>
      </c>
      <c r="I5" s="43">
        <f>32.01*0.15</f>
        <v>4.8014999999999999</v>
      </c>
      <c r="J5" s="47">
        <f>136.26*0.15</f>
        <v>20.438999999999997</v>
      </c>
      <c r="K5"/>
    </row>
    <row r="6" spans="1:12" s="27" customFormat="1" x14ac:dyDescent="0.25">
      <c r="A6" s="93"/>
      <c r="B6" s="7" t="s">
        <v>47</v>
      </c>
      <c r="C6" s="5" t="s">
        <v>51</v>
      </c>
      <c r="D6" s="5" t="s">
        <v>60</v>
      </c>
      <c r="E6" s="16">
        <v>200</v>
      </c>
      <c r="F6" s="6">
        <v>21.71</v>
      </c>
      <c r="G6" s="6">
        <v>104</v>
      </c>
      <c r="H6" s="6">
        <v>0.6</v>
      </c>
      <c r="I6" s="6">
        <v>0.2</v>
      </c>
      <c r="J6" s="8">
        <v>23.6</v>
      </c>
      <c r="K6"/>
    </row>
    <row r="7" spans="1:12" s="45" customFormat="1" x14ac:dyDescent="0.25">
      <c r="A7" s="93"/>
      <c r="B7" s="7" t="s">
        <v>39</v>
      </c>
      <c r="C7" s="5" t="s">
        <v>40</v>
      </c>
      <c r="D7" s="5" t="s">
        <v>57</v>
      </c>
      <c r="E7" s="53">
        <v>60</v>
      </c>
      <c r="F7" s="48">
        <v>15.54</v>
      </c>
      <c r="G7" s="38">
        <v>198</v>
      </c>
      <c r="H7" s="38">
        <v>0.6</v>
      </c>
      <c r="I7" s="38">
        <v>0</v>
      </c>
      <c r="J7" s="39">
        <v>48.6</v>
      </c>
      <c r="K7"/>
    </row>
    <row r="8" spans="1:12" s="36" customFormat="1" ht="15.75" thickBot="1" x14ac:dyDescent="0.3">
      <c r="A8" s="93"/>
      <c r="B8" s="9" t="s">
        <v>14</v>
      </c>
      <c r="C8" s="10" t="s">
        <v>32</v>
      </c>
      <c r="D8" s="10" t="s">
        <v>33</v>
      </c>
      <c r="E8" s="17">
        <v>12.5</v>
      </c>
      <c r="F8" s="18">
        <v>0.48</v>
      </c>
      <c r="G8" s="18">
        <f>229.7*0.125</f>
        <v>28.712499999999999</v>
      </c>
      <c r="H8" s="11">
        <f>6.7*0.125</f>
        <v>0.83750000000000002</v>
      </c>
      <c r="I8" s="11">
        <f>1.1*0.125</f>
        <v>0.13750000000000001</v>
      </c>
      <c r="J8" s="12">
        <f>48.3*0.125</f>
        <v>6.0374999999999996</v>
      </c>
    </row>
    <row r="9" spans="1:12" ht="16.5" thickBot="1" x14ac:dyDescent="0.3">
      <c r="A9" s="83" t="s">
        <v>15</v>
      </c>
      <c r="B9" s="84"/>
      <c r="C9" s="84"/>
      <c r="D9" s="84"/>
      <c r="E9" s="85"/>
      <c r="F9" s="52">
        <f>SUM(F3:F8)</f>
        <v>97.149999999999991</v>
      </c>
      <c r="G9" s="52">
        <f>SUM(G3:G8)</f>
        <v>734.52249999999992</v>
      </c>
      <c r="H9" s="52">
        <f>SUM(H3:H8)</f>
        <v>15.440133333333334</v>
      </c>
      <c r="I9" s="52">
        <f>SUM(I3:I8)</f>
        <v>21.972866666666665</v>
      </c>
      <c r="J9" s="52">
        <f>SUM(J3:J8)</f>
        <v>117.07249999999999</v>
      </c>
    </row>
    <row r="10" spans="1:12" ht="30" x14ac:dyDescent="0.25">
      <c r="A10" s="86" t="s">
        <v>28</v>
      </c>
      <c r="B10" s="20" t="s">
        <v>16</v>
      </c>
      <c r="C10" s="21" t="s">
        <v>61</v>
      </c>
      <c r="D10" s="69" t="s">
        <v>62</v>
      </c>
      <c r="E10" s="13" t="s">
        <v>44</v>
      </c>
      <c r="F10" s="14">
        <v>10.56</v>
      </c>
      <c r="G10" s="70">
        <v>119.95</v>
      </c>
      <c r="H10" s="70">
        <v>2.06</v>
      </c>
      <c r="I10" s="70">
        <v>6.42</v>
      </c>
      <c r="J10" s="71">
        <v>11.29</v>
      </c>
      <c r="K10"/>
    </row>
    <row r="11" spans="1:12" x14ac:dyDescent="0.25">
      <c r="A11" s="86"/>
      <c r="B11" s="7" t="s">
        <v>13</v>
      </c>
      <c r="C11" s="5" t="s">
        <v>49</v>
      </c>
      <c r="D11" s="5" t="s">
        <v>63</v>
      </c>
      <c r="E11" s="16" t="s">
        <v>66</v>
      </c>
      <c r="F11" s="6">
        <v>15.73</v>
      </c>
      <c r="G11" s="24">
        <f>151.2*0.3</f>
        <v>45.359999999999992</v>
      </c>
      <c r="H11" s="24">
        <f>15.6*0.3</f>
        <v>4.68</v>
      </c>
      <c r="I11" s="24">
        <f>8.4*0.3</f>
        <v>2.52</v>
      </c>
      <c r="J11" s="25">
        <f>3.3*0.3</f>
        <v>0.98999999999999988</v>
      </c>
      <c r="K11"/>
    </row>
    <row r="12" spans="1:12" s="45" customFormat="1" ht="15" customHeight="1" x14ac:dyDescent="0.25">
      <c r="A12" s="86"/>
      <c r="B12" s="7" t="s">
        <v>17</v>
      </c>
      <c r="C12" s="5" t="s">
        <v>38</v>
      </c>
      <c r="D12" s="5" t="s">
        <v>45</v>
      </c>
      <c r="E12" s="16">
        <v>120</v>
      </c>
      <c r="F12" s="6">
        <v>12.06</v>
      </c>
      <c r="G12" s="50">
        <f>112.3*1.2</f>
        <v>134.76</v>
      </c>
      <c r="H12" s="50">
        <f>3.68*1.2</f>
        <v>4.4160000000000004</v>
      </c>
      <c r="I12" s="50">
        <f>3.01*1.2</f>
        <v>3.6119999999999997</v>
      </c>
      <c r="J12" s="51">
        <f>17.63*1.2</f>
        <v>21.155999999999999</v>
      </c>
    </row>
    <row r="13" spans="1:12" s="27" customFormat="1" x14ac:dyDescent="0.25">
      <c r="A13" s="86"/>
      <c r="B13" s="7" t="s">
        <v>18</v>
      </c>
      <c r="C13" s="5" t="s">
        <v>19</v>
      </c>
      <c r="D13" s="5" t="s">
        <v>20</v>
      </c>
      <c r="E13" s="16" t="s">
        <v>34</v>
      </c>
      <c r="F13" s="6">
        <v>2.2599999999999998</v>
      </c>
      <c r="G13" s="6">
        <v>60</v>
      </c>
      <c r="H13" s="6">
        <v>7.0000000000000007E-2</v>
      </c>
      <c r="I13" s="6">
        <v>0.02</v>
      </c>
      <c r="J13" s="8">
        <v>15</v>
      </c>
    </row>
    <row r="14" spans="1:12" ht="15.75" thickBot="1" x14ac:dyDescent="0.3">
      <c r="A14" s="86"/>
      <c r="B14" s="9" t="s">
        <v>14</v>
      </c>
      <c r="C14" s="10" t="s">
        <v>32</v>
      </c>
      <c r="D14" s="10" t="s">
        <v>33</v>
      </c>
      <c r="E14" s="17">
        <v>43.5</v>
      </c>
      <c r="F14" s="18">
        <v>1.68</v>
      </c>
      <c r="G14" s="18">
        <f>229.7*0.435</f>
        <v>99.919499999999999</v>
      </c>
      <c r="H14" s="11">
        <f>6.7*0.435</f>
        <v>2.9144999999999999</v>
      </c>
      <c r="I14" s="11">
        <f>1.1*0.435</f>
        <v>0.47850000000000004</v>
      </c>
      <c r="J14" s="12">
        <f>48.3*0.435</f>
        <v>21.0105</v>
      </c>
    </row>
    <row r="15" spans="1:12" ht="16.5" thickBot="1" x14ac:dyDescent="0.3">
      <c r="A15" s="87" t="s">
        <v>15</v>
      </c>
      <c r="B15" s="84"/>
      <c r="C15" s="84"/>
      <c r="D15" s="84"/>
      <c r="E15" s="88"/>
      <c r="F15" s="19">
        <f>SUM(F10:F14)</f>
        <v>42.29</v>
      </c>
      <c r="G15" s="19">
        <f t="shared" ref="G15:J15" si="0">SUM(G10:G14)</f>
        <v>459.98950000000002</v>
      </c>
      <c r="H15" s="19">
        <f t="shared" si="0"/>
        <v>14.140500000000001</v>
      </c>
      <c r="I15" s="19">
        <f t="shared" si="0"/>
        <v>13.0505</v>
      </c>
      <c r="J15" s="19">
        <f t="shared" si="0"/>
        <v>69.4465</v>
      </c>
    </row>
    <row r="16" spans="1:12" s="45" customFormat="1" ht="16.5" customHeight="1" x14ac:dyDescent="0.25">
      <c r="A16" s="89" t="s">
        <v>29</v>
      </c>
      <c r="B16" s="42" t="s">
        <v>31</v>
      </c>
      <c r="C16" s="41" t="s">
        <v>41</v>
      </c>
      <c r="D16" s="41" t="s">
        <v>46</v>
      </c>
      <c r="E16" s="13">
        <v>25</v>
      </c>
      <c r="F16" s="14">
        <v>5.32</v>
      </c>
      <c r="G16" s="14">
        <f>11/50*25</f>
        <v>5.5</v>
      </c>
      <c r="H16" s="14">
        <f>0.55/50*25</f>
        <v>0.27500000000000002</v>
      </c>
      <c r="I16" s="14">
        <f>0.1/50*25</f>
        <v>0.05</v>
      </c>
      <c r="J16" s="15">
        <f>1.9/50*25</f>
        <v>0.95</v>
      </c>
    </row>
    <row r="17" spans="1:11" s="35" customFormat="1" ht="30" x14ac:dyDescent="0.25">
      <c r="A17" s="90"/>
      <c r="B17" s="7" t="s">
        <v>16</v>
      </c>
      <c r="C17" s="5" t="s">
        <v>61</v>
      </c>
      <c r="D17" s="72" t="s">
        <v>62</v>
      </c>
      <c r="E17" s="16" t="s">
        <v>44</v>
      </c>
      <c r="F17" s="6">
        <v>10.56</v>
      </c>
      <c r="G17" s="43">
        <v>119.95</v>
      </c>
      <c r="H17" s="43">
        <v>2.06</v>
      </c>
      <c r="I17" s="43">
        <v>6.42</v>
      </c>
      <c r="J17" s="47">
        <v>11.29</v>
      </c>
    </row>
    <row r="18" spans="1:11" s="40" customFormat="1" x14ac:dyDescent="0.25">
      <c r="A18" s="90"/>
      <c r="B18" s="7" t="s">
        <v>13</v>
      </c>
      <c r="C18" s="5" t="s">
        <v>49</v>
      </c>
      <c r="D18" s="5" t="s">
        <v>63</v>
      </c>
      <c r="E18" s="16" t="s">
        <v>50</v>
      </c>
      <c r="F18" s="6">
        <v>41.94</v>
      </c>
      <c r="G18" s="24">
        <f>151.2*0.8</f>
        <v>120.96</v>
      </c>
      <c r="H18" s="24">
        <f>15.6*0.8</f>
        <v>12.48</v>
      </c>
      <c r="I18" s="24">
        <f>8.4*0.8</f>
        <v>6.7200000000000006</v>
      </c>
      <c r="J18" s="25">
        <f>3.3*0.8</f>
        <v>2.64</v>
      </c>
      <c r="K18"/>
    </row>
    <row r="19" spans="1:11" s="45" customFormat="1" ht="15" customHeight="1" x14ac:dyDescent="0.25">
      <c r="A19" s="90"/>
      <c r="B19" s="7" t="s">
        <v>17</v>
      </c>
      <c r="C19" s="5" t="s">
        <v>38</v>
      </c>
      <c r="D19" s="5" t="s">
        <v>45</v>
      </c>
      <c r="E19" s="16">
        <v>120</v>
      </c>
      <c r="F19" s="6">
        <v>12.06</v>
      </c>
      <c r="G19" s="50">
        <f>112.3*1.2</f>
        <v>134.76</v>
      </c>
      <c r="H19" s="50">
        <f>3.68*1.2</f>
        <v>4.4160000000000004</v>
      </c>
      <c r="I19" s="50">
        <f>3.01*1.2</f>
        <v>3.6119999999999997</v>
      </c>
      <c r="J19" s="51">
        <f>17.63*1.2</f>
        <v>21.155999999999999</v>
      </c>
    </row>
    <row r="20" spans="1:11" s="33" customFormat="1" x14ac:dyDescent="0.25">
      <c r="A20" s="90"/>
      <c r="B20" s="7" t="s">
        <v>47</v>
      </c>
      <c r="C20" s="5" t="s">
        <v>64</v>
      </c>
      <c r="D20" s="5" t="s">
        <v>65</v>
      </c>
      <c r="E20" s="16">
        <v>200</v>
      </c>
      <c r="F20" s="6">
        <v>10.58</v>
      </c>
      <c r="G20" s="6">
        <v>88.2</v>
      </c>
      <c r="H20" s="6">
        <v>0.68</v>
      </c>
      <c r="I20" s="6">
        <v>0.28000000000000003</v>
      </c>
      <c r="J20" s="8">
        <v>20.76</v>
      </c>
    </row>
    <row r="21" spans="1:11" s="33" customFormat="1" x14ac:dyDescent="0.25">
      <c r="A21" s="90"/>
      <c r="B21" s="7" t="s">
        <v>39</v>
      </c>
      <c r="C21" s="5" t="s">
        <v>40</v>
      </c>
      <c r="D21" s="5" t="s">
        <v>57</v>
      </c>
      <c r="E21" s="53">
        <v>60</v>
      </c>
      <c r="F21" s="48">
        <v>15.54</v>
      </c>
      <c r="G21" s="38">
        <v>198</v>
      </c>
      <c r="H21" s="38">
        <v>0.6</v>
      </c>
      <c r="I21" s="38">
        <v>0</v>
      </c>
      <c r="J21" s="39">
        <v>48.6</v>
      </c>
    </row>
    <row r="22" spans="1:11" s="62" customFormat="1" ht="15.75" thickBot="1" x14ac:dyDescent="0.3">
      <c r="A22" s="91"/>
      <c r="B22" s="9" t="s">
        <v>14</v>
      </c>
      <c r="C22" s="10" t="s">
        <v>32</v>
      </c>
      <c r="D22" s="10" t="s">
        <v>33</v>
      </c>
      <c r="E22" s="17">
        <v>30</v>
      </c>
      <c r="F22" s="18">
        <v>1.1499999999999999</v>
      </c>
      <c r="G22" s="18">
        <f>229.7*0.3</f>
        <v>68.91</v>
      </c>
      <c r="H22" s="11">
        <f>6.7*0.3</f>
        <v>2.0099999999999998</v>
      </c>
      <c r="I22" s="11">
        <f>1.1*0.3</f>
        <v>0.33</v>
      </c>
      <c r="J22" s="12">
        <f>48.3*0.3</f>
        <v>14.489999999999998</v>
      </c>
      <c r="K22"/>
    </row>
    <row r="23" spans="1:11" s="28" customFormat="1" ht="16.5" thickBot="1" x14ac:dyDescent="0.3">
      <c r="A23" s="83" t="s">
        <v>15</v>
      </c>
      <c r="B23" s="84"/>
      <c r="C23" s="84"/>
      <c r="D23" s="84"/>
      <c r="E23" s="85"/>
      <c r="F23" s="19">
        <f>SUM(F16:F22)</f>
        <v>97.15</v>
      </c>
      <c r="G23" s="19">
        <f t="shared" ref="G23:J23" si="1">SUM(G16:G22)</f>
        <v>736.27999999999986</v>
      </c>
      <c r="H23" s="19">
        <f t="shared" si="1"/>
        <v>22.521000000000001</v>
      </c>
      <c r="I23" s="19">
        <f t="shared" si="1"/>
        <v>17.411999999999999</v>
      </c>
      <c r="J23" s="19">
        <f t="shared" si="1"/>
        <v>119.88600000000001</v>
      </c>
      <c r="K23"/>
    </row>
    <row r="24" spans="1:11" s="40" customFormat="1" x14ac:dyDescent="0.25">
      <c r="A24" s="94" t="s">
        <v>30</v>
      </c>
      <c r="B24" s="20" t="s">
        <v>47</v>
      </c>
      <c r="C24" s="21" t="s">
        <v>40</v>
      </c>
      <c r="D24" s="21" t="s">
        <v>54</v>
      </c>
      <c r="E24" s="13">
        <v>200</v>
      </c>
      <c r="F24" s="14">
        <v>41.02</v>
      </c>
      <c r="G24" s="14">
        <v>160</v>
      </c>
      <c r="H24" s="14">
        <v>6.2</v>
      </c>
      <c r="I24" s="14">
        <v>5</v>
      </c>
      <c r="J24" s="15">
        <v>22</v>
      </c>
      <c r="K24"/>
    </row>
    <row r="25" spans="1:11" s="45" customFormat="1" ht="32.25" customHeight="1" thickBot="1" x14ac:dyDescent="0.3">
      <c r="A25" s="95"/>
      <c r="B25" s="9" t="s">
        <v>14</v>
      </c>
      <c r="C25" s="10" t="s">
        <v>32</v>
      </c>
      <c r="D25" s="10" t="s">
        <v>33</v>
      </c>
      <c r="E25" s="17">
        <v>33</v>
      </c>
      <c r="F25" s="18">
        <v>1.27</v>
      </c>
      <c r="G25" s="18">
        <f>229.7*0.33</f>
        <v>75.801000000000002</v>
      </c>
      <c r="H25" s="11">
        <f>6.7*0.33</f>
        <v>2.2110000000000003</v>
      </c>
      <c r="I25" s="11">
        <f>1.1*0.33</f>
        <v>0.36300000000000004</v>
      </c>
      <c r="J25" s="12">
        <f>48.3*0.33</f>
        <v>15.939</v>
      </c>
    </row>
    <row r="26" spans="1:11" s="40" customFormat="1" ht="16.5" thickBot="1" x14ac:dyDescent="0.3">
      <c r="A26" s="96" t="s">
        <v>15</v>
      </c>
      <c r="B26" s="97"/>
      <c r="C26" s="97"/>
      <c r="D26" s="97"/>
      <c r="E26" s="98"/>
      <c r="F26" s="3">
        <f>SUM(F24:F25)</f>
        <v>42.290000000000006</v>
      </c>
      <c r="G26" s="3">
        <f>SUM(G24:G25)</f>
        <v>235.80099999999999</v>
      </c>
      <c r="H26" s="3">
        <f>SUM(H24:H25)</f>
        <v>8.4110000000000014</v>
      </c>
      <c r="I26" s="3">
        <f>SUM(I24:I25)</f>
        <v>5.3630000000000004</v>
      </c>
      <c r="J26" s="3">
        <f>SUM(J24:J25)</f>
        <v>37.939</v>
      </c>
      <c r="K26"/>
    </row>
    <row r="27" spans="1:11" ht="15.75" x14ac:dyDescent="0.25">
      <c r="A27" s="101" t="s">
        <v>52</v>
      </c>
      <c r="B27" s="42" t="s">
        <v>31</v>
      </c>
      <c r="C27" s="41" t="s">
        <v>69</v>
      </c>
      <c r="D27" s="41" t="s">
        <v>70</v>
      </c>
      <c r="E27" s="13">
        <v>16</v>
      </c>
      <c r="F27" s="13">
        <v>17.399999999999999</v>
      </c>
      <c r="G27" s="14">
        <f>108/30*16</f>
        <v>57.6</v>
      </c>
      <c r="H27" s="14">
        <f>6.96/30*16</f>
        <v>3.7120000000000002</v>
      </c>
      <c r="I27" s="14">
        <f>8.85/30*16</f>
        <v>4.72</v>
      </c>
      <c r="J27" s="15">
        <f>0</f>
        <v>0</v>
      </c>
    </row>
    <row r="28" spans="1:11" x14ac:dyDescent="0.25">
      <c r="A28" s="102"/>
      <c r="B28" s="7" t="s">
        <v>13</v>
      </c>
      <c r="C28" s="63" t="s">
        <v>55</v>
      </c>
      <c r="D28" s="64" t="s">
        <v>59</v>
      </c>
      <c r="E28" s="16">
        <v>75</v>
      </c>
      <c r="F28" s="6">
        <v>36.78</v>
      </c>
      <c r="G28" s="65">
        <f>197.7/75*75</f>
        <v>197.7</v>
      </c>
      <c r="H28" s="66">
        <f>8.9/75*75</f>
        <v>8.9</v>
      </c>
      <c r="I28" s="66">
        <f>12.4/75*75</f>
        <v>12.4</v>
      </c>
      <c r="J28" s="67">
        <f>12.6/75*75</f>
        <v>12.599999999999998</v>
      </c>
    </row>
    <row r="29" spans="1:11" ht="15.75" customHeight="1" x14ac:dyDescent="0.25">
      <c r="A29" s="102"/>
      <c r="B29" s="7" t="s">
        <v>17</v>
      </c>
      <c r="C29" s="44" t="s">
        <v>43</v>
      </c>
      <c r="D29" s="46" t="s">
        <v>42</v>
      </c>
      <c r="E29" s="16">
        <v>150</v>
      </c>
      <c r="F29" s="6">
        <v>15.28</v>
      </c>
      <c r="G29" s="43">
        <f>915*0.15</f>
        <v>137.25</v>
      </c>
      <c r="H29" s="43">
        <f>20.43*0.15</f>
        <v>3.0644999999999998</v>
      </c>
      <c r="I29" s="43">
        <f>32.01*0.15</f>
        <v>4.8014999999999999</v>
      </c>
      <c r="J29" s="47">
        <f>136.26*0.15</f>
        <v>20.438999999999997</v>
      </c>
    </row>
    <row r="30" spans="1:11" x14ac:dyDescent="0.25">
      <c r="A30" s="102"/>
      <c r="B30" s="7" t="s">
        <v>18</v>
      </c>
      <c r="C30" s="5" t="s">
        <v>19</v>
      </c>
      <c r="D30" s="5" t="s">
        <v>20</v>
      </c>
      <c r="E30" s="16" t="s">
        <v>34</v>
      </c>
      <c r="F30" s="6">
        <v>2.2599999999999998</v>
      </c>
      <c r="G30" s="6">
        <v>60</v>
      </c>
      <c r="H30" s="6">
        <v>7.0000000000000007E-2</v>
      </c>
      <c r="I30" s="6">
        <v>0.02</v>
      </c>
      <c r="J30" s="8">
        <v>15</v>
      </c>
    </row>
    <row r="31" spans="1:11" ht="15" customHeight="1" x14ac:dyDescent="0.25">
      <c r="A31" s="102"/>
      <c r="B31" s="57" t="s">
        <v>21</v>
      </c>
      <c r="C31" s="58" t="s">
        <v>67</v>
      </c>
      <c r="D31" s="58" t="s">
        <v>68</v>
      </c>
      <c r="E31" s="59">
        <v>50</v>
      </c>
      <c r="F31" s="60">
        <v>3.58</v>
      </c>
      <c r="G31" s="60">
        <v>160.5</v>
      </c>
      <c r="H31" s="60">
        <v>3.39</v>
      </c>
      <c r="I31" s="60">
        <v>6.98</v>
      </c>
      <c r="J31" s="61">
        <v>21.07</v>
      </c>
    </row>
    <row r="32" spans="1:11" ht="15" customHeight="1" thickBot="1" x14ac:dyDescent="0.3">
      <c r="A32" s="103"/>
      <c r="B32" s="9" t="s">
        <v>14</v>
      </c>
      <c r="C32" s="10" t="s">
        <v>32</v>
      </c>
      <c r="D32" s="10" t="s">
        <v>33</v>
      </c>
      <c r="E32" s="17">
        <v>44</v>
      </c>
      <c r="F32" s="18">
        <v>1.7</v>
      </c>
      <c r="G32" s="18">
        <f>229.7*0.44</f>
        <v>101.068</v>
      </c>
      <c r="H32" s="11">
        <f>6.7*0.44</f>
        <v>2.948</v>
      </c>
      <c r="I32" s="11">
        <f>1.1*0.44</f>
        <v>0.48400000000000004</v>
      </c>
      <c r="J32" s="12">
        <f>48.3*0.44</f>
        <v>21.251999999999999</v>
      </c>
    </row>
    <row r="33" spans="1:10" ht="16.5" thickBot="1" x14ac:dyDescent="0.3">
      <c r="A33" s="99" t="s">
        <v>15</v>
      </c>
      <c r="B33" s="84"/>
      <c r="C33" s="84"/>
      <c r="D33" s="84"/>
      <c r="E33" s="88"/>
      <c r="F33" s="19">
        <f>SUM(F27:F32)</f>
        <v>77</v>
      </c>
      <c r="G33" s="19">
        <f t="shared" ref="G33:J33" si="2">SUM(G27:G32)</f>
        <v>714.11799999999994</v>
      </c>
      <c r="H33" s="19">
        <f t="shared" si="2"/>
        <v>22.084500000000002</v>
      </c>
      <c r="I33" s="19">
        <f t="shared" si="2"/>
        <v>29.405500000000004</v>
      </c>
      <c r="J33" s="19">
        <f t="shared" si="2"/>
        <v>90.36099999999999</v>
      </c>
    </row>
    <row r="34" spans="1:10" x14ac:dyDescent="0.25">
      <c r="A34" s="101" t="s">
        <v>72</v>
      </c>
      <c r="B34" s="20" t="s">
        <v>13</v>
      </c>
      <c r="C34" s="21" t="s">
        <v>74</v>
      </c>
      <c r="D34" s="21" t="s">
        <v>75</v>
      </c>
      <c r="E34" s="13">
        <v>55</v>
      </c>
      <c r="F34" s="14">
        <v>37.14</v>
      </c>
      <c r="G34" s="112">
        <f>261*0.55</f>
        <v>143.55000000000001</v>
      </c>
      <c r="H34" s="112">
        <f>11*0.55</f>
        <v>6.0500000000000007</v>
      </c>
      <c r="I34" s="112">
        <f>23.9*0.55</f>
        <v>13.145</v>
      </c>
      <c r="J34" s="113">
        <f>0.4*0.55</f>
        <v>0.22000000000000003</v>
      </c>
    </row>
    <row r="35" spans="1:10" x14ac:dyDescent="0.25">
      <c r="A35" s="102"/>
      <c r="B35" s="7" t="s">
        <v>17</v>
      </c>
      <c r="C35" s="5" t="s">
        <v>38</v>
      </c>
      <c r="D35" s="5" t="s">
        <v>45</v>
      </c>
      <c r="E35" s="16">
        <v>120</v>
      </c>
      <c r="F35" s="6">
        <v>12.06</v>
      </c>
      <c r="G35" s="50">
        <f>112.3*1.2</f>
        <v>134.76</v>
      </c>
      <c r="H35" s="50">
        <f>3.68*1.2</f>
        <v>4.4160000000000004</v>
      </c>
      <c r="I35" s="50">
        <f>3.01*1.2</f>
        <v>3.6119999999999997</v>
      </c>
      <c r="J35" s="51">
        <f>17.63*1.2</f>
        <v>21.155999999999999</v>
      </c>
    </row>
    <row r="36" spans="1:10" x14ac:dyDescent="0.25">
      <c r="A36" s="102"/>
      <c r="B36" s="7" t="s">
        <v>47</v>
      </c>
      <c r="C36" s="5" t="s">
        <v>51</v>
      </c>
      <c r="D36" s="5" t="s">
        <v>73</v>
      </c>
      <c r="E36" s="16">
        <v>200</v>
      </c>
      <c r="F36" s="6">
        <v>27.3</v>
      </c>
      <c r="G36" s="6">
        <v>104</v>
      </c>
      <c r="H36" s="6">
        <v>0.6</v>
      </c>
      <c r="I36" s="6">
        <v>0.2</v>
      </c>
      <c r="J36" s="8">
        <v>23.6</v>
      </c>
    </row>
    <row r="37" spans="1:10" ht="15.75" thickBot="1" x14ac:dyDescent="0.3">
      <c r="A37" s="103"/>
      <c r="B37" s="9" t="s">
        <v>14</v>
      </c>
      <c r="C37" s="10" t="s">
        <v>32</v>
      </c>
      <c r="D37" s="10" t="s">
        <v>33</v>
      </c>
      <c r="E37" s="17">
        <v>13</v>
      </c>
      <c r="F37" s="18">
        <v>0.5</v>
      </c>
      <c r="G37" s="18">
        <f>229.7*0.13</f>
        <v>29.861000000000001</v>
      </c>
      <c r="H37" s="11">
        <f>6.7*0.13</f>
        <v>0.87100000000000011</v>
      </c>
      <c r="I37" s="11">
        <f>1.1*0.13</f>
        <v>0.14300000000000002</v>
      </c>
      <c r="J37" s="12">
        <f>48.3*0.13</f>
        <v>6.2789999999999999</v>
      </c>
    </row>
    <row r="38" spans="1:10" ht="16.5" thickBot="1" x14ac:dyDescent="0.3">
      <c r="A38" s="99" t="s">
        <v>15</v>
      </c>
      <c r="B38" s="84"/>
      <c r="C38" s="84"/>
      <c r="D38" s="84"/>
      <c r="E38" s="88"/>
      <c r="F38" s="19">
        <f>SUM(F34:F37)</f>
        <v>77</v>
      </c>
      <c r="G38" s="19">
        <f>SUM(G34:G37)</f>
        <v>412.17099999999999</v>
      </c>
      <c r="H38" s="19">
        <f>SUM(H34:H37)</f>
        <v>11.937000000000001</v>
      </c>
      <c r="I38" s="19">
        <f>SUM(I34:I37)</f>
        <v>17.099999999999998</v>
      </c>
      <c r="J38" s="19">
        <f>SUM(J34:J37)</f>
        <v>51.254999999999995</v>
      </c>
    </row>
    <row r="39" spans="1:10" ht="30" x14ac:dyDescent="0.25">
      <c r="A39" s="104" t="s">
        <v>35</v>
      </c>
      <c r="B39" s="42" t="s">
        <v>31</v>
      </c>
      <c r="C39" s="41" t="s">
        <v>53</v>
      </c>
      <c r="D39" s="41" t="s">
        <v>58</v>
      </c>
      <c r="E39" s="13">
        <v>13</v>
      </c>
      <c r="F39" s="14">
        <v>8.98</v>
      </c>
      <c r="G39" s="14">
        <f>592*0.013</f>
        <v>7.6959999999999997</v>
      </c>
      <c r="H39" s="14">
        <f>28.85*0.013</f>
        <v>0.37504999999999999</v>
      </c>
      <c r="I39" s="14">
        <f>27.24*0.013</f>
        <v>0.35411999999999999</v>
      </c>
      <c r="J39" s="15">
        <f>57.86*0.013</f>
        <v>0.75217999999999996</v>
      </c>
    </row>
    <row r="40" spans="1:10" ht="15.75" x14ac:dyDescent="0.25">
      <c r="A40" s="105"/>
      <c r="B40" s="7" t="s">
        <v>17</v>
      </c>
      <c r="C40" s="44" t="s">
        <v>43</v>
      </c>
      <c r="D40" s="46" t="s">
        <v>42</v>
      </c>
      <c r="E40" s="16">
        <v>150</v>
      </c>
      <c r="F40" s="6">
        <v>15.28</v>
      </c>
      <c r="G40" s="43">
        <f>915*0.15</f>
        <v>137.25</v>
      </c>
      <c r="H40" s="43">
        <f>20.43*0.15</f>
        <v>3.0644999999999998</v>
      </c>
      <c r="I40" s="43">
        <f>32.01*0.15</f>
        <v>4.8014999999999999</v>
      </c>
      <c r="J40" s="47">
        <f>136.26*0.15</f>
        <v>20.438999999999997</v>
      </c>
    </row>
    <row r="41" spans="1:10" x14ac:dyDescent="0.25">
      <c r="A41" s="105"/>
      <c r="B41" s="7" t="s">
        <v>18</v>
      </c>
      <c r="C41" s="5" t="s">
        <v>19</v>
      </c>
      <c r="D41" s="5" t="s">
        <v>20</v>
      </c>
      <c r="E41" s="16" t="s">
        <v>34</v>
      </c>
      <c r="F41" s="6">
        <v>2.2599999999999998</v>
      </c>
      <c r="G41" s="6">
        <v>60</v>
      </c>
      <c r="H41" s="6">
        <v>7.0000000000000007E-2</v>
      </c>
      <c r="I41" s="6">
        <v>0.02</v>
      </c>
      <c r="J41" s="8">
        <v>15</v>
      </c>
    </row>
    <row r="42" spans="1:10" ht="15.75" thickBot="1" x14ac:dyDescent="0.3">
      <c r="A42" s="106"/>
      <c r="B42" s="9" t="s">
        <v>14</v>
      </c>
      <c r="C42" s="10" t="s">
        <v>32</v>
      </c>
      <c r="D42" s="10" t="s">
        <v>33</v>
      </c>
      <c r="E42" s="17">
        <v>12.5</v>
      </c>
      <c r="F42" s="18">
        <v>0.48</v>
      </c>
      <c r="G42" s="18">
        <f>229.7*0.125</f>
        <v>28.712499999999999</v>
      </c>
      <c r="H42" s="11">
        <f>6.7*0.125</f>
        <v>0.83750000000000002</v>
      </c>
      <c r="I42" s="11">
        <f>1.1*0.125</f>
        <v>0.13750000000000001</v>
      </c>
      <c r="J42" s="12">
        <f>48.3*0.125</f>
        <v>6.0374999999999996</v>
      </c>
    </row>
    <row r="43" spans="1:10" ht="16.5" thickBot="1" x14ac:dyDescent="0.3">
      <c r="A43" s="107" t="s">
        <v>15</v>
      </c>
      <c r="B43" s="84"/>
      <c r="C43" s="84"/>
      <c r="D43" s="84"/>
      <c r="E43" s="88"/>
      <c r="F43" s="19">
        <f>SUM(F39:F42)</f>
        <v>26.999999999999996</v>
      </c>
      <c r="G43" s="19">
        <f>SUM(G39:G42)</f>
        <v>233.6585</v>
      </c>
      <c r="H43" s="19">
        <f>SUM(H39:H42)</f>
        <v>4.3470499999999994</v>
      </c>
      <c r="I43" s="19">
        <f>SUM(I39:I42)</f>
        <v>5.3131199999999996</v>
      </c>
      <c r="J43" s="19">
        <f>SUM(J39:J42)</f>
        <v>42.228679999999997</v>
      </c>
    </row>
    <row r="44" spans="1:10" x14ac:dyDescent="0.25">
      <c r="A44" s="104" t="s">
        <v>36</v>
      </c>
      <c r="B44" s="20" t="s">
        <v>18</v>
      </c>
      <c r="C44" s="21" t="s">
        <v>19</v>
      </c>
      <c r="D44" s="21" t="s">
        <v>20</v>
      </c>
      <c r="E44" s="13" t="s">
        <v>34</v>
      </c>
      <c r="F44" s="14">
        <v>2.2599999999999998</v>
      </c>
      <c r="G44" s="14">
        <v>60</v>
      </c>
      <c r="H44" s="14">
        <v>7.0000000000000007E-2</v>
      </c>
      <c r="I44" s="14">
        <v>0.02</v>
      </c>
      <c r="J44" s="15">
        <v>15</v>
      </c>
    </row>
    <row r="45" spans="1:10" ht="15.75" thickBot="1" x14ac:dyDescent="0.3">
      <c r="A45" s="106"/>
      <c r="B45" s="9" t="s">
        <v>39</v>
      </c>
      <c r="C45" s="10" t="s">
        <v>40</v>
      </c>
      <c r="D45" s="10" t="s">
        <v>71</v>
      </c>
      <c r="E45" s="17">
        <v>20</v>
      </c>
      <c r="F45" s="18">
        <v>4.74</v>
      </c>
      <c r="G45" s="18">
        <f>435*0.2</f>
        <v>87</v>
      </c>
      <c r="H45" s="18">
        <f>7.1*0.2</f>
        <v>1.42</v>
      </c>
      <c r="I45" s="18">
        <f>15.1*0.2</f>
        <v>3.02</v>
      </c>
      <c r="J45" s="29">
        <f>67.7*0.2</f>
        <v>13.540000000000001</v>
      </c>
    </row>
    <row r="46" spans="1:10" ht="16.5" thickBot="1" x14ac:dyDescent="0.3">
      <c r="A46" s="83" t="s">
        <v>15</v>
      </c>
      <c r="B46" s="108"/>
      <c r="C46" s="108"/>
      <c r="D46" s="108"/>
      <c r="E46" s="109"/>
      <c r="F46" s="19">
        <f>SUM(F44:F45)</f>
        <v>7</v>
      </c>
      <c r="G46" s="19">
        <f>SUM(G44:G45)</f>
        <v>147</v>
      </c>
      <c r="H46" s="19">
        <f t="shared" ref="H46:J46" si="3">SUM(H44:H45)</f>
        <v>1.49</v>
      </c>
      <c r="I46" s="19">
        <f t="shared" si="3"/>
        <v>3.04</v>
      </c>
      <c r="J46" s="19">
        <f t="shared" si="3"/>
        <v>28.54</v>
      </c>
    </row>
    <row r="47" spans="1:10" ht="30" x14ac:dyDescent="0.25">
      <c r="A47" s="100" t="s">
        <v>37</v>
      </c>
      <c r="B47" s="20" t="s">
        <v>16</v>
      </c>
      <c r="C47" s="21" t="s">
        <v>61</v>
      </c>
      <c r="D47" s="69" t="s">
        <v>62</v>
      </c>
      <c r="E47" s="13" t="s">
        <v>44</v>
      </c>
      <c r="F47" s="14">
        <v>10.56</v>
      </c>
      <c r="G47" s="70">
        <v>119.95</v>
      </c>
      <c r="H47" s="70">
        <v>2.06</v>
      </c>
      <c r="I47" s="70">
        <v>6.42</v>
      </c>
      <c r="J47" s="71">
        <v>11.29</v>
      </c>
    </row>
    <row r="48" spans="1:10" x14ac:dyDescent="0.25">
      <c r="A48" s="100"/>
      <c r="B48" s="7" t="s">
        <v>13</v>
      </c>
      <c r="C48" s="5" t="s">
        <v>49</v>
      </c>
      <c r="D48" s="5" t="s">
        <v>63</v>
      </c>
      <c r="E48" s="16" t="s">
        <v>66</v>
      </c>
      <c r="F48" s="6">
        <v>15.73</v>
      </c>
      <c r="G48" s="24">
        <f>151.2*0.3</f>
        <v>45.359999999999992</v>
      </c>
      <c r="H48" s="24">
        <f>15.6*0.3</f>
        <v>4.68</v>
      </c>
      <c r="I48" s="24">
        <f>8.4*0.3</f>
        <v>2.52</v>
      </c>
      <c r="J48" s="25">
        <f>3.3*0.3</f>
        <v>0.98999999999999988</v>
      </c>
    </row>
    <row r="49" spans="1:10" x14ac:dyDescent="0.25">
      <c r="A49" s="100"/>
      <c r="B49" s="7" t="s">
        <v>17</v>
      </c>
      <c r="C49" s="5" t="s">
        <v>38</v>
      </c>
      <c r="D49" s="5" t="s">
        <v>45</v>
      </c>
      <c r="E49" s="16">
        <v>150</v>
      </c>
      <c r="F49" s="6">
        <v>15.07</v>
      </c>
      <c r="G49" s="50">
        <f>112.3*1.5</f>
        <v>168.45</v>
      </c>
      <c r="H49" s="50">
        <f>3.68*1.5</f>
        <v>5.5200000000000005</v>
      </c>
      <c r="I49" s="50">
        <f>3.01*1.5</f>
        <v>4.5149999999999997</v>
      </c>
      <c r="J49" s="51">
        <f>17.63*1.5</f>
        <v>26.445</v>
      </c>
    </row>
    <row r="50" spans="1:10" x14ac:dyDescent="0.25">
      <c r="A50" s="100"/>
      <c r="B50" s="7" t="s">
        <v>18</v>
      </c>
      <c r="C50" s="5" t="s">
        <v>19</v>
      </c>
      <c r="D50" s="5" t="s">
        <v>20</v>
      </c>
      <c r="E50" s="16" t="s">
        <v>34</v>
      </c>
      <c r="F50" s="6">
        <v>2.2599999999999998</v>
      </c>
      <c r="G50" s="6">
        <v>60</v>
      </c>
      <c r="H50" s="6">
        <v>7.0000000000000007E-2</v>
      </c>
      <c r="I50" s="6">
        <v>0.02</v>
      </c>
      <c r="J50" s="8">
        <v>15</v>
      </c>
    </row>
    <row r="51" spans="1:10" ht="15.75" thickBot="1" x14ac:dyDescent="0.3">
      <c r="A51" s="100"/>
      <c r="B51" s="9" t="s">
        <v>14</v>
      </c>
      <c r="C51" s="10" t="s">
        <v>32</v>
      </c>
      <c r="D51" s="10" t="s">
        <v>33</v>
      </c>
      <c r="E51" s="17">
        <v>35.5</v>
      </c>
      <c r="F51" s="18">
        <v>1.38</v>
      </c>
      <c r="G51" s="18">
        <f>229.7*0.355</f>
        <v>81.543499999999995</v>
      </c>
      <c r="H51" s="11">
        <f>6.7*0.355</f>
        <v>2.3784999999999998</v>
      </c>
      <c r="I51" s="11">
        <f>1.1*0.355</f>
        <v>0.39050000000000001</v>
      </c>
      <c r="J51" s="12">
        <f>48.3*0.355</f>
        <v>17.1465</v>
      </c>
    </row>
    <row r="52" spans="1:10" ht="16.5" thickBot="1" x14ac:dyDescent="0.3">
      <c r="A52" s="83" t="s">
        <v>15</v>
      </c>
      <c r="B52" s="110"/>
      <c r="C52" s="110"/>
      <c r="D52" s="110"/>
      <c r="E52" s="111"/>
      <c r="F52" s="22">
        <f>SUM(F47:F51)</f>
        <v>45</v>
      </c>
      <c r="G52" s="22">
        <f>SUM(G47:G51)</f>
        <v>475.30349999999999</v>
      </c>
      <c r="H52" s="22">
        <f>SUM(H47:H51)</f>
        <v>14.708500000000001</v>
      </c>
      <c r="I52" s="22">
        <f>SUM(I47:I51)</f>
        <v>13.865499999999997</v>
      </c>
      <c r="J52" s="22">
        <f>SUM(J47:J51)</f>
        <v>70.871499999999997</v>
      </c>
    </row>
    <row r="53" spans="1:10" x14ac:dyDescent="0.25">
      <c r="A53" s="56"/>
      <c r="B53" s="68"/>
      <c r="C53" s="68"/>
      <c r="D53" s="68"/>
      <c r="E53" s="68"/>
      <c r="F53" s="68"/>
      <c r="G53" s="68"/>
      <c r="H53" s="68"/>
      <c r="I53" s="68"/>
      <c r="J53" s="68"/>
    </row>
    <row r="54" spans="1:10" ht="15.75" thickBot="1" x14ac:dyDescent="0.3">
      <c r="A54" s="81" t="s">
        <v>25</v>
      </c>
      <c r="B54" s="81"/>
      <c r="C54" s="81"/>
      <c r="D54" s="81"/>
      <c r="E54" s="81"/>
      <c r="F54" s="81"/>
      <c r="G54" s="81"/>
      <c r="H54" s="81"/>
      <c r="I54" s="81"/>
      <c r="J54" s="81"/>
    </row>
    <row r="55" spans="1:10" ht="15.75" x14ac:dyDescent="0.25">
      <c r="A55" s="55"/>
      <c r="B55" s="23"/>
      <c r="C55" s="80" t="s">
        <v>23</v>
      </c>
      <c r="D55" s="80"/>
      <c r="E55" s="68"/>
      <c r="F55" s="68"/>
      <c r="G55" s="82"/>
      <c r="H55" s="82"/>
      <c r="I55" s="82"/>
      <c r="J55" s="82"/>
    </row>
    <row r="56" spans="1:10" x14ac:dyDescent="0.25">
      <c r="A56" s="54"/>
      <c r="B56" s="1"/>
      <c r="C56" s="1"/>
      <c r="D56" s="1"/>
      <c r="E56" s="68"/>
      <c r="F56" s="68"/>
      <c r="G56" s="68"/>
      <c r="H56" s="68"/>
      <c r="I56" s="68"/>
      <c r="J56" s="68"/>
    </row>
    <row r="57" spans="1:10" x14ac:dyDescent="0.25">
      <c r="A57" s="92" t="s">
        <v>24</v>
      </c>
      <c r="B57" s="92"/>
      <c r="C57" s="68"/>
      <c r="D57" s="68"/>
      <c r="E57" s="68"/>
      <c r="F57" s="68"/>
      <c r="G57" s="68"/>
      <c r="H57" s="68"/>
      <c r="I57" s="68"/>
      <c r="J57" s="68"/>
    </row>
    <row r="58" spans="1:10" x14ac:dyDescent="0.25">
      <c r="A58" s="92" t="s">
        <v>26</v>
      </c>
      <c r="B58" s="92"/>
      <c r="C58" s="68"/>
      <c r="D58" s="68"/>
      <c r="E58" s="68"/>
      <c r="F58" s="68"/>
      <c r="G58" s="68"/>
      <c r="H58" s="68"/>
      <c r="I58" s="68"/>
      <c r="J58" s="68"/>
    </row>
  </sheetData>
  <mergeCells count="25">
    <mergeCell ref="C55:D55"/>
    <mergeCell ref="G55:J55"/>
    <mergeCell ref="A57:B57"/>
    <mergeCell ref="A58:B58"/>
    <mergeCell ref="A44:A45"/>
    <mergeCell ref="A46:E46"/>
    <mergeCell ref="A47:A51"/>
    <mergeCell ref="A52:E52"/>
    <mergeCell ref="A54:J54"/>
    <mergeCell ref="A33:E33"/>
    <mergeCell ref="A34:A37"/>
    <mergeCell ref="A38:E38"/>
    <mergeCell ref="A39:A42"/>
    <mergeCell ref="A43:E43"/>
    <mergeCell ref="A3:A8"/>
    <mergeCell ref="A24:A25"/>
    <mergeCell ref="A26:E26"/>
    <mergeCell ref="A27:A32"/>
    <mergeCell ref="B1:C1"/>
    <mergeCell ref="G1:J1"/>
    <mergeCell ref="A9:E9"/>
    <mergeCell ref="A10:A14"/>
    <mergeCell ref="A15:E15"/>
    <mergeCell ref="A23:E23"/>
    <mergeCell ref="A16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2022-11-23T10:32:35Z</dcterms:modified>
</cp:coreProperties>
</file>