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J51" i="1"/>
  <c r="I51" i="1"/>
  <c r="H51" i="1"/>
  <c r="G51" i="1"/>
  <c r="J48" i="1"/>
  <c r="I48" i="1"/>
  <c r="H48" i="1"/>
  <c r="G48" i="1"/>
  <c r="J47" i="1"/>
  <c r="I47" i="1"/>
  <c r="H47" i="1"/>
  <c r="G47" i="1"/>
  <c r="J46" i="1"/>
  <c r="J52" i="1" s="1"/>
  <c r="I46" i="1"/>
  <c r="I52" i="1" s="1"/>
  <c r="H46" i="1"/>
  <c r="H52" i="1" s="1"/>
  <c r="G46" i="1"/>
  <c r="G52" i="1" s="1"/>
  <c r="F45" i="1"/>
  <c r="J44" i="1"/>
  <c r="I44" i="1"/>
  <c r="H44" i="1"/>
  <c r="G44" i="1"/>
  <c r="J42" i="1"/>
  <c r="I42" i="1"/>
  <c r="H42" i="1"/>
  <c r="G42" i="1"/>
  <c r="J41" i="1"/>
  <c r="I41" i="1"/>
  <c r="H41" i="1"/>
  <c r="G41" i="1"/>
  <c r="J40" i="1"/>
  <c r="J45" i="1" s="1"/>
  <c r="I40" i="1"/>
  <c r="I45" i="1" s="1"/>
  <c r="H40" i="1"/>
  <c r="H45" i="1" s="1"/>
  <c r="G40" i="1"/>
  <c r="G45" i="1" s="1"/>
  <c r="J39" i="1"/>
  <c r="H39" i="1"/>
  <c r="F39" i="1"/>
  <c r="J37" i="1"/>
  <c r="I37" i="1"/>
  <c r="I39" i="1" s="1"/>
  <c r="H37" i="1"/>
  <c r="G37" i="1"/>
  <c r="G39" i="1" s="1"/>
  <c r="I36" i="1"/>
  <c r="G36" i="1"/>
  <c r="F36" i="1"/>
  <c r="J35" i="1"/>
  <c r="I35" i="1"/>
  <c r="H35" i="1"/>
  <c r="G35" i="1"/>
  <c r="J33" i="1"/>
  <c r="J36" i="1" s="1"/>
  <c r="I33" i="1"/>
  <c r="H33" i="1"/>
  <c r="H36" i="1" s="1"/>
  <c r="G33" i="1"/>
  <c r="F32" i="1"/>
  <c r="J31" i="1"/>
  <c r="I31" i="1"/>
  <c r="H31" i="1"/>
  <c r="G31" i="1"/>
  <c r="J29" i="1"/>
  <c r="I29" i="1"/>
  <c r="H29" i="1"/>
  <c r="G29" i="1"/>
  <c r="J28" i="1"/>
  <c r="I28" i="1"/>
  <c r="H28" i="1"/>
  <c r="G28" i="1"/>
  <c r="J27" i="1"/>
  <c r="J32" i="1" s="1"/>
  <c r="I27" i="1"/>
  <c r="I32" i="1" s="1"/>
  <c r="H27" i="1"/>
  <c r="H32" i="1" s="1"/>
  <c r="G27" i="1"/>
  <c r="G32" i="1" s="1"/>
  <c r="J25" i="1" l="1"/>
  <c r="I25" i="1"/>
  <c r="H25" i="1"/>
  <c r="G25" i="1"/>
  <c r="J3" i="1"/>
  <c r="I3" i="1"/>
  <c r="H3" i="1"/>
  <c r="G3" i="1"/>
  <c r="J23" i="1"/>
  <c r="I23" i="1"/>
  <c r="H23" i="1"/>
  <c r="G23" i="1"/>
  <c r="J21" i="1"/>
  <c r="I21" i="1"/>
  <c r="H21" i="1"/>
  <c r="G21" i="1"/>
  <c r="J18" i="1" l="1"/>
  <c r="I18" i="1"/>
  <c r="H18" i="1"/>
  <c r="G18" i="1"/>
  <c r="J13" i="1"/>
  <c r="I13" i="1"/>
  <c r="H13" i="1"/>
  <c r="G13" i="1"/>
  <c r="J11" i="1"/>
  <c r="I11" i="1"/>
  <c r="H11" i="1"/>
  <c r="G11" i="1"/>
  <c r="J10" i="1"/>
  <c r="I10" i="1"/>
  <c r="H10" i="1"/>
  <c r="G10" i="1"/>
  <c r="J7" i="1"/>
  <c r="I7" i="1"/>
  <c r="H7" i="1"/>
  <c r="G7" i="1"/>
  <c r="J5" i="1"/>
  <c r="I5" i="1"/>
  <c r="H5" i="1"/>
  <c r="G5" i="1"/>
  <c r="J4" i="1"/>
  <c r="I4" i="1"/>
  <c r="H4" i="1"/>
  <c r="G4" i="1"/>
  <c r="J20" i="1" l="1"/>
  <c r="I20" i="1"/>
  <c r="H20" i="1"/>
  <c r="G20" i="1"/>
  <c r="J15" i="1" l="1"/>
  <c r="I15" i="1"/>
  <c r="H15" i="1"/>
  <c r="G15" i="1"/>
  <c r="J16" i="1" l="1"/>
  <c r="I16" i="1"/>
  <c r="H16" i="1"/>
  <c r="G16" i="1"/>
  <c r="G8" i="1"/>
  <c r="H8" i="1"/>
  <c r="I8" i="1"/>
  <c r="F8" i="1"/>
  <c r="J8" i="1" l="1"/>
  <c r="J17" i="1" l="1"/>
  <c r="I17" i="1"/>
  <c r="H17" i="1"/>
  <c r="G17" i="1"/>
  <c r="F14" i="1" l="1"/>
  <c r="F22" i="1" l="1"/>
  <c r="J22" i="1" l="1"/>
  <c r="I22" i="1"/>
  <c r="H22" i="1"/>
  <c r="G22" i="1"/>
  <c r="J9" i="1" l="1"/>
  <c r="J14" i="1" s="1"/>
  <c r="I9" i="1"/>
  <c r="I14" i="1" s="1"/>
  <c r="H9" i="1"/>
  <c r="H14" i="1" s="1"/>
  <c r="G9" i="1"/>
  <c r="G14" i="1" s="1"/>
  <c r="F26" i="1"/>
  <c r="J26" i="1"/>
  <c r="I26" i="1"/>
  <c r="H26" i="1"/>
  <c r="G26" i="1"/>
</calcChain>
</file>

<file path=xl/sharedStrings.xml><?xml version="1.0" encoding="utf-8"?>
<sst xmlns="http://schemas.openxmlformats.org/spreadsheetml/2006/main" count="175" uniqueCount="75">
  <si>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</si>
  <si>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</si>
  <si>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</si>
  <si>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</si>
  <si>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</si>
  <si>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</si>
  <si>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</si>
  <si>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</si>
  <si>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</si>
  <si>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</si>
  <si>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</si>
  <si>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</si>
  <si>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</si>
  <si>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</si>
  <si>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</si>
  <si>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</si>
  <si>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</si>
  <si>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</si>
  <si>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</si>
  <si>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</si>
  <si>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</si>
  <si>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</si>
  <si>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</si>
  <si>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</si>
  <si>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</si>
  <si>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</si>
  <si>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</si>
  <si>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</si>
  <si>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</si>
  <si>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</si>
  <si>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</si>
  <si>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</si>
  <si>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</si>
  <si>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</si>
  <si>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</si>
  <si>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</si>
  <si>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</si>
  <si>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</si>
  <si>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</si>
  <si>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</si>
  <si>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№88-2015г.</t>
  </si>
  <si>
    <t>№71-2015г.</t>
  </si>
  <si>
    <t>Овощи натуральные свежие (огурцы)</t>
  </si>
  <si>
    <t>Щи из свежей капусты с картофелем со сметаной и зеленью</t>
  </si>
  <si>
    <t>250/10/2</t>
  </si>
  <si>
    <t>Напиток (сладкое блюдо)</t>
  </si>
  <si>
    <t>ТТК №50</t>
  </si>
  <si>
    <t>Бутерброд с красной рыбой сл/с</t>
  </si>
  <si>
    <t>ТТК №54</t>
  </si>
  <si>
    <t>ТТК №18</t>
  </si>
  <si>
    <t>Филе цыплёнка запечённое</t>
  </si>
  <si>
    <t>ТТК №13</t>
  </si>
  <si>
    <t>Картофель тушёный по-домашнему</t>
  </si>
  <si>
    <t>№309-2015г.</t>
  </si>
  <si>
    <t>Макароны отварные</t>
  </si>
  <si>
    <t>Блинчик с джемом</t>
  </si>
  <si>
    <t>Печенье "Курабье"</t>
  </si>
  <si>
    <t>Макароны отварные с сыром</t>
  </si>
  <si>
    <t>ТТК №26</t>
  </si>
  <si>
    <t>Котлета "Нежная" из цыплят и свинины</t>
  </si>
  <si>
    <t>15/25</t>
  </si>
  <si>
    <t>№349-2015г.</t>
  </si>
  <si>
    <t>Компот из смеси сухофруктов</t>
  </si>
  <si>
    <t>12/20</t>
  </si>
  <si>
    <t>Бутерброд с сыром</t>
  </si>
  <si>
    <t>20/25</t>
  </si>
  <si>
    <t>Завтрак 5-11 кл с доплатой 70,00 руб. и льготники с доплатой 50,00 руб.; ДМГ 77,00 1 смена</t>
  </si>
  <si>
    <t>№3-2015г.</t>
  </si>
  <si>
    <t>140/10</t>
  </si>
  <si>
    <t>№2-2015г.</t>
  </si>
  <si>
    <t>Бутерброд с повидлом</t>
  </si>
  <si>
    <t>25/29</t>
  </si>
  <si>
    <t>№425-2015г.</t>
  </si>
  <si>
    <t>Булочка дорожная</t>
  </si>
  <si>
    <t>Обед 6-7 кл. с доплатой 70,00 руб. и льготники с доплатой 50,00 руб.; ДМГ 77,00 2-я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</si>
</sst>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9" fillId="0" borderId="9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2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2" fontId="6" fillId="0" borderId="30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2" fontId="6" fillId="0" borderId="24" xfId="0" applyNumberFormat="1" applyFont="1" applyBorder="1" applyAlignment="1">
      <alignment vertical="center" wrapText="1"/>
    </xf>
    <xf numFmtId="2" fontId="6" fillId="0" borderId="38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0" xfId="0" applyFont="1" applyBorder="1" applyAlignment="1">
      <alignment horizontal="right" vertical="center" wrapText="1"/>
    </xf>
    <xf numFmtId="2" fontId="5" fillId="0" borderId="40" xfId="0" applyNumberFormat="1" applyFont="1" applyBorder="1" applyAlignment="1">
      <alignment horizontal="right" vertical="center" wrapText="1"/>
    </xf>
    <xf numFmtId="2" fontId="5" fillId="0" borderId="41" xfId="0" applyNumberFormat="1" applyFont="1" applyBorder="1" applyAlignment="1">
      <alignment horizontal="righ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4" workbookViewId="0">
      <selection activeCell="B37" sqref="A37:XFD37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1" t="s">
        <v>22</v>
      </c>
      <c r="C1" s="62"/>
      <c r="D1" s="1" t="s">
        <v>1</v>
      </c>
      <c r="E1" s="25"/>
      <c r="F1" s="1" t="s">
        <v>2</v>
      </c>
      <c r="G1" s="63">
        <v>44894</v>
      </c>
      <c r="H1" s="64"/>
      <c r="I1" s="64"/>
      <c r="J1" s="65"/>
      <c r="K1" s="1"/>
      <c r="L1" s="1"/>
    </row>
    <row r="2" spans="1:12" ht="15.75" thickBot="1" x14ac:dyDescent="0.3">
      <c r="A2" s="31" t="s">
        <v>3</v>
      </c>
      <c r="B2" s="4" t="s">
        <v>4</v>
      </c>
      <c r="C2" s="32" t="s">
        <v>5</v>
      </c>
      <c r="D2" s="35" t="s">
        <v>6</v>
      </c>
      <c r="E2" s="35" t="s">
        <v>7</v>
      </c>
      <c r="F2" s="35" t="s">
        <v>8</v>
      </c>
      <c r="G2" s="4" t="s">
        <v>9</v>
      </c>
      <c r="H2" s="4" t="s">
        <v>10</v>
      </c>
      <c r="I2" s="4" t="s">
        <v>11</v>
      </c>
      <c r="J2" s="33" t="s">
        <v>12</v>
      </c>
    </row>
    <row r="3" spans="1:12" s="44" customFormat="1" ht="15.75" x14ac:dyDescent="0.25">
      <c r="A3" s="75" t="s">
        <v>27</v>
      </c>
      <c r="B3" s="92" t="s">
        <v>31</v>
      </c>
      <c r="C3" s="93" t="s">
        <v>48</v>
      </c>
      <c r="D3" s="93" t="s">
        <v>47</v>
      </c>
      <c r="E3" s="94" t="s">
        <v>60</v>
      </c>
      <c r="F3" s="14">
        <v>44.82</v>
      </c>
      <c r="G3" s="14">
        <f>202*0.15+229.7*0.25</f>
        <v>87.724999999999994</v>
      </c>
      <c r="H3" s="14">
        <f>22.5*0.15+6.7*0.25</f>
        <v>5.05</v>
      </c>
      <c r="I3" s="14">
        <f>12.5*0.15+1.1*0.25</f>
        <v>2.15</v>
      </c>
      <c r="J3" s="15">
        <f>0+48.3*0.25</f>
        <v>12.074999999999999</v>
      </c>
    </row>
    <row r="4" spans="1:12" ht="15" customHeight="1" x14ac:dyDescent="0.25">
      <c r="A4" s="76"/>
      <c r="B4" s="7" t="s">
        <v>13</v>
      </c>
      <c r="C4" s="5" t="s">
        <v>58</v>
      </c>
      <c r="D4" s="5" t="s">
        <v>59</v>
      </c>
      <c r="E4" s="16">
        <v>75</v>
      </c>
      <c r="F4" s="6">
        <v>36.06</v>
      </c>
      <c r="G4" s="23">
        <f>155.6*1.5</f>
        <v>233.39999999999998</v>
      </c>
      <c r="H4" s="23">
        <f>7*1.5</f>
        <v>10.5</v>
      </c>
      <c r="I4" s="23">
        <f>11.1*1.5</f>
        <v>16.649999999999999</v>
      </c>
      <c r="J4" s="24">
        <f>7*1.5</f>
        <v>10.5</v>
      </c>
    </row>
    <row r="5" spans="1:12" s="38" customFormat="1" ht="15" customHeight="1" x14ac:dyDescent="0.25">
      <c r="A5" s="76"/>
      <c r="B5" s="7" t="s">
        <v>17</v>
      </c>
      <c r="C5" s="5" t="s">
        <v>53</v>
      </c>
      <c r="D5" s="5" t="s">
        <v>54</v>
      </c>
      <c r="E5" s="16">
        <v>130</v>
      </c>
      <c r="F5" s="6">
        <v>13.06</v>
      </c>
      <c r="G5" s="47">
        <f>112.3*1.3</f>
        <v>145.99</v>
      </c>
      <c r="H5" s="47">
        <f>3.68*1.3</f>
        <v>4.7840000000000007</v>
      </c>
      <c r="I5" s="47">
        <f>3.01*1.3</f>
        <v>3.9129999999999998</v>
      </c>
      <c r="J5" s="48">
        <f>17.63*1.3</f>
        <v>22.919</v>
      </c>
    </row>
    <row r="6" spans="1:12" s="26" customFormat="1" x14ac:dyDescent="0.25">
      <c r="A6" s="76"/>
      <c r="B6" s="7" t="s">
        <v>18</v>
      </c>
      <c r="C6" s="5" t="s">
        <v>19</v>
      </c>
      <c r="D6" s="5" t="s">
        <v>20</v>
      </c>
      <c r="E6" s="16" t="s">
        <v>34</v>
      </c>
      <c r="F6" s="6">
        <v>2.2400000000000002</v>
      </c>
      <c r="G6" s="6">
        <v>60</v>
      </c>
      <c r="H6" s="6">
        <v>7.0000000000000007E-2</v>
      </c>
      <c r="I6" s="6">
        <v>0.02</v>
      </c>
      <c r="J6" s="8">
        <v>15</v>
      </c>
      <c r="K6"/>
    </row>
    <row r="7" spans="1:12" s="37" customFormat="1" ht="15.75" thickBot="1" x14ac:dyDescent="0.3">
      <c r="A7" s="77"/>
      <c r="B7" s="9" t="s">
        <v>14</v>
      </c>
      <c r="C7" s="10" t="s">
        <v>32</v>
      </c>
      <c r="D7" s="10" t="s">
        <v>33</v>
      </c>
      <c r="E7" s="17">
        <v>25</v>
      </c>
      <c r="F7" s="18">
        <v>0.97</v>
      </c>
      <c r="G7" s="18">
        <f>229.7*0.25</f>
        <v>57.424999999999997</v>
      </c>
      <c r="H7" s="11">
        <f>6.7*0.25</f>
        <v>1.675</v>
      </c>
      <c r="I7" s="11">
        <f>1.1*0.25</f>
        <v>0.27500000000000002</v>
      </c>
      <c r="J7" s="12">
        <f>48.3*0.25</f>
        <v>12.074999999999999</v>
      </c>
    </row>
    <row r="8" spans="1:12" ht="16.5" thickBot="1" x14ac:dyDescent="0.3">
      <c r="A8" s="69" t="s">
        <v>15</v>
      </c>
      <c r="B8" s="70"/>
      <c r="C8" s="70"/>
      <c r="D8" s="70"/>
      <c r="E8" s="71"/>
      <c r="F8" s="46">
        <f>SUM(F3:F7)</f>
        <v>97.149999999999991</v>
      </c>
      <c r="G8" s="46">
        <f>SUM(G3:G7)</f>
        <v>584.54</v>
      </c>
      <c r="H8" s="46">
        <f>SUM(H3:H7)</f>
        <v>22.079000000000004</v>
      </c>
      <c r="I8" s="46">
        <f>SUM(I3:I7)</f>
        <v>23.007999999999996</v>
      </c>
      <c r="J8" s="46">
        <f>SUM(J3:J7)</f>
        <v>72.569000000000003</v>
      </c>
    </row>
    <row r="9" spans="1:12" ht="30" x14ac:dyDescent="0.25">
      <c r="A9" s="72" t="s">
        <v>28</v>
      </c>
      <c r="B9" s="20" t="s">
        <v>16</v>
      </c>
      <c r="C9" s="21" t="s">
        <v>40</v>
      </c>
      <c r="D9" s="21" t="s">
        <v>43</v>
      </c>
      <c r="E9" s="13" t="s">
        <v>44</v>
      </c>
      <c r="F9" s="14">
        <v>10.62</v>
      </c>
      <c r="G9" s="14">
        <f>359*0.25+162*0.1</f>
        <v>105.95</v>
      </c>
      <c r="H9" s="14">
        <f>7.06*0.25+2.6*0.1</f>
        <v>2.0249999999999999</v>
      </c>
      <c r="I9" s="14">
        <f>19.8*0.25+15*0.1</f>
        <v>6.45</v>
      </c>
      <c r="J9" s="15">
        <f>31.61*0.25+3.6*0.1</f>
        <v>8.2624999999999993</v>
      </c>
      <c r="K9"/>
    </row>
    <row r="10" spans="1:12" x14ac:dyDescent="0.25">
      <c r="A10" s="72"/>
      <c r="B10" s="7" t="s">
        <v>13</v>
      </c>
      <c r="C10" s="5" t="s">
        <v>49</v>
      </c>
      <c r="D10" s="5" t="s">
        <v>50</v>
      </c>
      <c r="E10" s="16">
        <v>20</v>
      </c>
      <c r="F10" s="6">
        <v>16.02</v>
      </c>
      <c r="G10" s="23">
        <f>129.15/50*20</f>
        <v>51.660000000000004</v>
      </c>
      <c r="H10" s="23">
        <f>17.2/50*20</f>
        <v>6.879999999999999</v>
      </c>
      <c r="I10" s="23">
        <f>3.8/50*20</f>
        <v>1.52</v>
      </c>
      <c r="J10" s="24">
        <f>6.6/50*20</f>
        <v>2.64</v>
      </c>
      <c r="K10"/>
    </row>
    <row r="11" spans="1:12" s="41" customFormat="1" x14ac:dyDescent="0.25">
      <c r="A11" s="72"/>
      <c r="B11" s="7" t="s">
        <v>17</v>
      </c>
      <c r="C11" s="5" t="s">
        <v>51</v>
      </c>
      <c r="D11" s="5" t="s">
        <v>52</v>
      </c>
      <c r="E11" s="16">
        <v>110</v>
      </c>
      <c r="F11" s="6">
        <v>11.62</v>
      </c>
      <c r="G11" s="47">
        <f>89.4*1.1</f>
        <v>98.340000000000018</v>
      </c>
      <c r="H11" s="47">
        <f>1.7*1.1</f>
        <v>1.87</v>
      </c>
      <c r="I11" s="47">
        <f>3.5*1.1</f>
        <v>3.8500000000000005</v>
      </c>
      <c r="J11" s="48">
        <f>12.8*1.1</f>
        <v>14.080000000000002</v>
      </c>
      <c r="K11"/>
    </row>
    <row r="12" spans="1:12" s="26" customFormat="1" x14ac:dyDescent="0.25">
      <c r="A12" s="72"/>
      <c r="B12" s="7" t="s">
        <v>18</v>
      </c>
      <c r="C12" s="5" t="s">
        <v>19</v>
      </c>
      <c r="D12" s="5" t="s">
        <v>20</v>
      </c>
      <c r="E12" s="16" t="s">
        <v>34</v>
      </c>
      <c r="F12" s="6">
        <v>2.2400000000000002</v>
      </c>
      <c r="G12" s="6">
        <v>60</v>
      </c>
      <c r="H12" s="6">
        <v>7.0000000000000007E-2</v>
      </c>
      <c r="I12" s="6">
        <v>0.02</v>
      </c>
      <c r="J12" s="8">
        <v>15</v>
      </c>
    </row>
    <row r="13" spans="1:12" ht="15.75" thickBot="1" x14ac:dyDescent="0.3">
      <c r="A13" s="72"/>
      <c r="B13" s="9" t="s">
        <v>14</v>
      </c>
      <c r="C13" s="10" t="s">
        <v>32</v>
      </c>
      <c r="D13" s="10" t="s">
        <v>33</v>
      </c>
      <c r="E13" s="17">
        <v>46.5</v>
      </c>
      <c r="F13" s="18">
        <v>1.79</v>
      </c>
      <c r="G13" s="18">
        <f>229.7*0.465</f>
        <v>106.8105</v>
      </c>
      <c r="H13" s="11">
        <f>6.7*0.465</f>
        <v>3.1155000000000004</v>
      </c>
      <c r="I13" s="11">
        <f>1.1*0.465</f>
        <v>0.51150000000000007</v>
      </c>
      <c r="J13" s="12">
        <f>48.3*0.465</f>
        <v>22.459499999999998</v>
      </c>
    </row>
    <row r="14" spans="1:12" ht="16.5" thickBot="1" x14ac:dyDescent="0.3">
      <c r="A14" s="73" t="s">
        <v>15</v>
      </c>
      <c r="B14" s="70"/>
      <c r="C14" s="70"/>
      <c r="D14" s="70"/>
      <c r="E14" s="74"/>
      <c r="F14" s="19">
        <f>SUM(F9:F13)</f>
        <v>42.29</v>
      </c>
      <c r="G14" s="19">
        <f t="shared" ref="G14:J14" si="0">SUM(G9:G13)</f>
        <v>422.76050000000004</v>
      </c>
      <c r="H14" s="19">
        <f t="shared" si="0"/>
        <v>13.9605</v>
      </c>
      <c r="I14" s="19">
        <f t="shared" si="0"/>
        <v>12.3515</v>
      </c>
      <c r="J14" s="19">
        <f t="shared" si="0"/>
        <v>62.442</v>
      </c>
    </row>
    <row r="15" spans="1:12" s="42" customFormat="1" x14ac:dyDescent="0.25">
      <c r="A15" s="59" t="s">
        <v>29</v>
      </c>
      <c r="B15" s="20" t="s">
        <v>31</v>
      </c>
      <c r="C15" s="21" t="s">
        <v>41</v>
      </c>
      <c r="D15" s="21" t="s">
        <v>42</v>
      </c>
      <c r="E15" s="13">
        <v>20</v>
      </c>
      <c r="F15" s="14">
        <v>4.4400000000000004</v>
      </c>
      <c r="G15" s="14">
        <f>6*0.4</f>
        <v>2.4000000000000004</v>
      </c>
      <c r="H15" s="14">
        <f>0.35*0.4</f>
        <v>0.13999999999999999</v>
      </c>
      <c r="I15" s="14">
        <f>0.05*0.4</f>
        <v>2.0000000000000004E-2</v>
      </c>
      <c r="J15" s="15">
        <f>0.95*0.4</f>
        <v>0.38</v>
      </c>
    </row>
    <row r="16" spans="1:12" s="45" customFormat="1" ht="30" x14ac:dyDescent="0.25">
      <c r="A16" s="60"/>
      <c r="B16" s="7" t="s">
        <v>16</v>
      </c>
      <c r="C16" s="5" t="s">
        <v>40</v>
      </c>
      <c r="D16" s="5" t="s">
        <v>43</v>
      </c>
      <c r="E16" s="16" t="s">
        <v>44</v>
      </c>
      <c r="F16" s="6">
        <v>10.62</v>
      </c>
      <c r="G16" s="6">
        <f>359*0.25+162*0.1</f>
        <v>105.95</v>
      </c>
      <c r="H16" s="6">
        <f>7.06*0.25+2.6*0.1</f>
        <v>2.0249999999999999</v>
      </c>
      <c r="I16" s="6">
        <f>19.8*0.25+15*0.1</f>
        <v>6.45</v>
      </c>
      <c r="J16" s="8">
        <f>31.61*0.25+3.6*0.1</f>
        <v>8.2624999999999993</v>
      </c>
    </row>
    <row r="17" spans="1:11" s="36" customFormat="1" x14ac:dyDescent="0.25">
      <c r="A17" s="60"/>
      <c r="B17" s="7" t="s">
        <v>13</v>
      </c>
      <c r="C17" s="5" t="s">
        <v>49</v>
      </c>
      <c r="D17" s="5" t="s">
        <v>50</v>
      </c>
      <c r="E17" s="16">
        <v>50</v>
      </c>
      <c r="F17" s="6">
        <v>40.049999999999997</v>
      </c>
      <c r="G17" s="23">
        <f>129.15*1</f>
        <v>129.15</v>
      </c>
      <c r="H17" s="23">
        <f>17.2*1</f>
        <v>17.2</v>
      </c>
      <c r="I17" s="23">
        <f>3.8*1</f>
        <v>3.8</v>
      </c>
      <c r="J17" s="24">
        <f>6.6*1</f>
        <v>6.6</v>
      </c>
    </row>
    <row r="18" spans="1:11" s="41" customFormat="1" x14ac:dyDescent="0.25">
      <c r="A18" s="60"/>
      <c r="B18" s="7" t="s">
        <v>17</v>
      </c>
      <c r="C18" s="5" t="s">
        <v>51</v>
      </c>
      <c r="D18" s="5" t="s">
        <v>52</v>
      </c>
      <c r="E18" s="16">
        <v>140</v>
      </c>
      <c r="F18" s="6">
        <v>14.78</v>
      </c>
      <c r="G18" s="47">
        <f>89.4*1.4</f>
        <v>125.16</v>
      </c>
      <c r="H18" s="47">
        <f>1.7*1.4</f>
        <v>2.38</v>
      </c>
      <c r="I18" s="47">
        <f>3.5*1.4</f>
        <v>4.8999999999999995</v>
      </c>
      <c r="J18" s="48">
        <f>12.8*1.4</f>
        <v>17.919999999999998</v>
      </c>
      <c r="K18"/>
    </row>
    <row r="19" spans="1:11" s="42" customFormat="1" x14ac:dyDescent="0.25">
      <c r="A19" s="60"/>
      <c r="B19" s="7" t="s">
        <v>45</v>
      </c>
      <c r="C19" s="5" t="s">
        <v>61</v>
      </c>
      <c r="D19" s="5" t="s">
        <v>62</v>
      </c>
      <c r="E19" s="16">
        <v>200</v>
      </c>
      <c r="F19" s="6">
        <v>6.04</v>
      </c>
      <c r="G19" s="6">
        <v>132.80000000000001</v>
      </c>
      <c r="H19" s="6">
        <v>0.66</v>
      </c>
      <c r="I19" s="6">
        <v>0.09</v>
      </c>
      <c r="J19" s="8">
        <v>32.01</v>
      </c>
      <c r="K19"/>
    </row>
    <row r="20" spans="1:11" s="34" customFormat="1" ht="15.75" x14ac:dyDescent="0.25">
      <c r="A20" s="60"/>
      <c r="B20" s="7" t="s">
        <v>21</v>
      </c>
      <c r="C20" s="39" t="s">
        <v>46</v>
      </c>
      <c r="D20" s="49" t="s">
        <v>55</v>
      </c>
      <c r="E20" s="16">
        <v>55</v>
      </c>
      <c r="F20" s="6">
        <v>20.25</v>
      </c>
      <c r="G20" s="40">
        <f>192.8/90*55</f>
        <v>117.82222222222222</v>
      </c>
      <c r="H20" s="23">
        <f>2.9/9*5.5</f>
        <v>1.7722222222222221</v>
      </c>
      <c r="I20" s="23">
        <f>7.6/9*5.5</f>
        <v>4.6444444444444448</v>
      </c>
      <c r="J20" s="24">
        <f>28.3/9*5.5</f>
        <v>17.294444444444444</v>
      </c>
    </row>
    <row r="21" spans="1:11" s="43" customFormat="1" ht="15.75" thickBot="1" x14ac:dyDescent="0.3">
      <c r="A21" s="60"/>
      <c r="B21" s="9" t="s">
        <v>14</v>
      </c>
      <c r="C21" s="10" t="s">
        <v>32</v>
      </c>
      <c r="D21" s="10" t="s">
        <v>33</v>
      </c>
      <c r="E21" s="17">
        <v>25</v>
      </c>
      <c r="F21" s="18">
        <v>0.97</v>
      </c>
      <c r="G21" s="18">
        <f>229.7*0.25</f>
        <v>57.424999999999997</v>
      </c>
      <c r="H21" s="11">
        <f>6.7*0.25</f>
        <v>1.675</v>
      </c>
      <c r="I21" s="11">
        <f>1.1*0.25</f>
        <v>0.27500000000000002</v>
      </c>
      <c r="J21" s="12">
        <f>48.3*0.25</f>
        <v>12.074999999999999</v>
      </c>
      <c r="K21"/>
    </row>
    <row r="22" spans="1:11" s="27" customFormat="1" ht="16.5" thickBot="1" x14ac:dyDescent="0.3">
      <c r="A22" s="69" t="s">
        <v>15</v>
      </c>
      <c r="B22" s="70"/>
      <c r="C22" s="70"/>
      <c r="D22" s="70"/>
      <c r="E22" s="71"/>
      <c r="F22" s="19">
        <f>SUM(F15:F21)</f>
        <v>97.15</v>
      </c>
      <c r="G22" s="19">
        <f>SUM(G15:G21)</f>
        <v>670.70722222222219</v>
      </c>
      <c r="H22" s="19">
        <f>SUM(H15:H21)</f>
        <v>25.85222222222222</v>
      </c>
      <c r="I22" s="19">
        <f>SUM(I15:I21)</f>
        <v>20.179444444444442</v>
      </c>
      <c r="J22" s="19">
        <f>SUM(J15:J21)</f>
        <v>94.541944444444439</v>
      </c>
      <c r="K22"/>
    </row>
    <row r="23" spans="1:11" s="41" customFormat="1" ht="15.75" x14ac:dyDescent="0.25">
      <c r="A23" s="54" t="s">
        <v>30</v>
      </c>
      <c r="B23" s="92" t="s">
        <v>31</v>
      </c>
      <c r="C23" s="93" t="s">
        <v>48</v>
      </c>
      <c r="D23" s="93" t="s">
        <v>47</v>
      </c>
      <c r="E23" s="94" t="s">
        <v>63</v>
      </c>
      <c r="F23" s="14">
        <v>35.85</v>
      </c>
      <c r="G23" s="14">
        <f>202*0.12+229.7*0.2</f>
        <v>70.179999999999993</v>
      </c>
      <c r="H23" s="14">
        <f>22.5*0.12+6.7*0.2</f>
        <v>4.04</v>
      </c>
      <c r="I23" s="14">
        <f>12.5*0.12+1.1*0.2</f>
        <v>1.72</v>
      </c>
      <c r="J23" s="15">
        <f>0+48.3*0.25</f>
        <v>12.074999999999999</v>
      </c>
      <c r="K23"/>
    </row>
    <row r="24" spans="1:11" s="41" customFormat="1" x14ac:dyDescent="0.25">
      <c r="A24" s="55"/>
      <c r="B24" s="7" t="s">
        <v>18</v>
      </c>
      <c r="C24" s="5" t="s">
        <v>19</v>
      </c>
      <c r="D24" s="5" t="s">
        <v>20</v>
      </c>
      <c r="E24" s="16" t="s">
        <v>34</v>
      </c>
      <c r="F24" s="6">
        <v>2.2400000000000002</v>
      </c>
      <c r="G24" s="6">
        <v>60</v>
      </c>
      <c r="H24" s="6">
        <v>7.0000000000000007E-2</v>
      </c>
      <c r="I24" s="6">
        <v>0.02</v>
      </c>
      <c r="J24" s="8">
        <v>15</v>
      </c>
      <c r="K24"/>
    </row>
    <row r="25" spans="1:11" s="41" customFormat="1" ht="15.75" thickBot="1" x14ac:dyDescent="0.3">
      <c r="A25" s="55"/>
      <c r="B25" s="9" t="s">
        <v>38</v>
      </c>
      <c r="C25" s="10" t="s">
        <v>39</v>
      </c>
      <c r="D25" s="10" t="s">
        <v>56</v>
      </c>
      <c r="E25" s="17">
        <v>15</v>
      </c>
      <c r="F25" s="18">
        <v>4.2</v>
      </c>
      <c r="G25" s="18">
        <f>83.3/17*15</f>
        <v>73.499999999999986</v>
      </c>
      <c r="H25" s="18">
        <f>0.78/17*15</f>
        <v>0.68823529411764706</v>
      </c>
      <c r="I25" s="18">
        <f>3.96/17*15</f>
        <v>3.4941176470588236</v>
      </c>
      <c r="J25" s="30">
        <f>11.27/17*15</f>
        <v>9.9441176470588246</v>
      </c>
      <c r="K25"/>
    </row>
    <row r="26" spans="1:11" s="41" customFormat="1" ht="16.5" thickBot="1" x14ac:dyDescent="0.3">
      <c r="A26" s="56" t="s">
        <v>15</v>
      </c>
      <c r="B26" s="57"/>
      <c r="C26" s="57"/>
      <c r="D26" s="57"/>
      <c r="E26" s="58"/>
      <c r="F26" s="3">
        <f>SUM(F23:F25)</f>
        <v>42.290000000000006</v>
      </c>
      <c r="G26" s="3">
        <f>SUM(G23:G25)</f>
        <v>203.68</v>
      </c>
      <c r="H26" s="3">
        <f>SUM(H23:H25)</f>
        <v>4.7982352941176476</v>
      </c>
      <c r="I26" s="3">
        <f>SUM(I23:I25)</f>
        <v>5.2341176470588238</v>
      </c>
      <c r="J26" s="3">
        <f>SUM(J23:J25)</f>
        <v>37.01911764705882</v>
      </c>
      <c r="K26"/>
    </row>
    <row r="27" spans="1:11" x14ac:dyDescent="0.25">
      <c r="A27" s="89" t="s">
        <v>66</v>
      </c>
      <c r="B27" s="20" t="s">
        <v>31</v>
      </c>
      <c r="C27" s="21" t="s">
        <v>67</v>
      </c>
      <c r="D27" s="21" t="s">
        <v>64</v>
      </c>
      <c r="E27" s="94" t="s">
        <v>65</v>
      </c>
      <c r="F27" s="14">
        <v>24.19</v>
      </c>
      <c r="G27" s="14">
        <f>364*0.2+66*0+280*0.25</f>
        <v>142.80000000000001</v>
      </c>
      <c r="H27" s="14">
        <f>23.2*0.2+0.08*0+8*0.25</f>
        <v>6.64</v>
      </c>
      <c r="I27" s="14">
        <f>29.5*0.2+7.25*0+3*0.25</f>
        <v>6.65</v>
      </c>
      <c r="J27" s="15">
        <f>0+0.13*0+54*0.25</f>
        <v>13.5</v>
      </c>
    </row>
    <row r="28" spans="1:11" x14ac:dyDescent="0.25">
      <c r="A28" s="90"/>
      <c r="B28" s="7" t="s">
        <v>13</v>
      </c>
      <c r="C28" s="5" t="s">
        <v>58</v>
      </c>
      <c r="D28" s="5" t="s">
        <v>59</v>
      </c>
      <c r="E28" s="16">
        <v>75</v>
      </c>
      <c r="F28" s="6">
        <v>36.06</v>
      </c>
      <c r="G28" s="23">
        <f>155.6*1.5</f>
        <v>233.39999999999998</v>
      </c>
      <c r="H28" s="23">
        <f>7*1.5</f>
        <v>10.5</v>
      </c>
      <c r="I28" s="23">
        <f>11.1*1.5</f>
        <v>16.649999999999999</v>
      </c>
      <c r="J28" s="24">
        <f>7*1.5</f>
        <v>10.5</v>
      </c>
    </row>
    <row r="29" spans="1:11" ht="15.75" customHeight="1" x14ac:dyDescent="0.25">
      <c r="A29" s="90"/>
      <c r="B29" s="7" t="s">
        <v>17</v>
      </c>
      <c r="C29" s="5" t="s">
        <v>53</v>
      </c>
      <c r="D29" s="5" t="s">
        <v>54</v>
      </c>
      <c r="E29" s="16">
        <v>130</v>
      </c>
      <c r="F29" s="6">
        <v>13.06</v>
      </c>
      <c r="G29" s="47">
        <f>112.3*1.3</f>
        <v>145.99</v>
      </c>
      <c r="H29" s="47">
        <f>3.68*1.3</f>
        <v>4.7840000000000007</v>
      </c>
      <c r="I29" s="47">
        <f>3.01*1.3</f>
        <v>3.9129999999999998</v>
      </c>
      <c r="J29" s="48">
        <f>17.63*1.3</f>
        <v>22.919</v>
      </c>
    </row>
    <row r="30" spans="1:11" x14ac:dyDescent="0.25">
      <c r="A30" s="90"/>
      <c r="B30" s="7" t="s">
        <v>18</v>
      </c>
      <c r="C30" s="5" t="s">
        <v>19</v>
      </c>
      <c r="D30" s="5" t="s">
        <v>20</v>
      </c>
      <c r="E30" s="16" t="s">
        <v>34</v>
      </c>
      <c r="F30" s="6">
        <v>2.2400000000000002</v>
      </c>
      <c r="G30" s="6">
        <v>60</v>
      </c>
      <c r="H30" s="6">
        <v>7.0000000000000007E-2</v>
      </c>
      <c r="I30" s="6">
        <v>0.02</v>
      </c>
      <c r="J30" s="8">
        <v>15</v>
      </c>
    </row>
    <row r="31" spans="1:11" ht="15" customHeight="1" thickBot="1" x14ac:dyDescent="0.3">
      <c r="A31" s="91"/>
      <c r="B31" s="9" t="s">
        <v>14</v>
      </c>
      <c r="C31" s="10" t="s">
        <v>32</v>
      </c>
      <c r="D31" s="10" t="s">
        <v>33</v>
      </c>
      <c r="E31" s="17">
        <v>37.5</v>
      </c>
      <c r="F31" s="18">
        <v>1.45</v>
      </c>
      <c r="G31" s="18">
        <f>229.7*0.375</f>
        <v>86.137499999999989</v>
      </c>
      <c r="H31" s="11">
        <f>6.7*0.375</f>
        <v>2.5125000000000002</v>
      </c>
      <c r="I31" s="11">
        <f>1.1*0.375</f>
        <v>0.41250000000000003</v>
      </c>
      <c r="J31" s="12">
        <f>48.3*0.375</f>
        <v>18.112499999999997</v>
      </c>
    </row>
    <row r="32" spans="1:11" ht="15" customHeight="1" thickBot="1" x14ac:dyDescent="0.3">
      <c r="A32" s="88" t="s">
        <v>15</v>
      </c>
      <c r="B32" s="70"/>
      <c r="C32" s="70"/>
      <c r="D32" s="70"/>
      <c r="E32" s="74"/>
      <c r="F32" s="19">
        <f>SUM(F27:F31)</f>
        <v>77</v>
      </c>
      <c r="G32" s="19">
        <f t="shared" ref="G32:J32" si="1">SUM(G27:G31)</f>
        <v>668.3275000000001</v>
      </c>
      <c r="H32" s="19">
        <f t="shared" si="1"/>
        <v>24.506499999999999</v>
      </c>
      <c r="I32" s="19">
        <f t="shared" si="1"/>
        <v>27.645499999999998</v>
      </c>
      <c r="J32" s="19">
        <f t="shared" si="1"/>
        <v>80.031499999999994</v>
      </c>
    </row>
    <row r="33" spans="1:10" x14ac:dyDescent="0.25">
      <c r="A33" s="78" t="s">
        <v>35</v>
      </c>
      <c r="B33" s="20" t="s">
        <v>13</v>
      </c>
      <c r="C33" s="21" t="s">
        <v>53</v>
      </c>
      <c r="D33" s="21" t="s">
        <v>57</v>
      </c>
      <c r="E33" s="13" t="s">
        <v>68</v>
      </c>
      <c r="F33" s="14">
        <v>24.6</v>
      </c>
      <c r="G33" s="28">
        <f>1123*0.14+364*0.1</f>
        <v>193.62000000000003</v>
      </c>
      <c r="H33" s="28">
        <f>36.78*0.14+23.2*0.1</f>
        <v>7.4692000000000007</v>
      </c>
      <c r="I33" s="28">
        <f>30.1*0.14+29.5*0.1</f>
        <v>7.1640000000000006</v>
      </c>
      <c r="J33" s="29">
        <f>176.3*0.14</f>
        <v>24.682000000000006</v>
      </c>
    </row>
    <row r="34" spans="1:10" x14ac:dyDescent="0.25">
      <c r="A34" s="79"/>
      <c r="B34" s="7" t="s">
        <v>18</v>
      </c>
      <c r="C34" s="5" t="s">
        <v>19</v>
      </c>
      <c r="D34" s="5" t="s">
        <v>20</v>
      </c>
      <c r="E34" s="16" t="s">
        <v>34</v>
      </c>
      <c r="F34" s="6">
        <v>2.2400000000000002</v>
      </c>
      <c r="G34" s="6">
        <v>60</v>
      </c>
      <c r="H34" s="6">
        <v>7.0000000000000007E-2</v>
      </c>
      <c r="I34" s="6">
        <v>0.02</v>
      </c>
      <c r="J34" s="8">
        <v>15</v>
      </c>
    </row>
    <row r="35" spans="1:10" ht="15.75" thickBot="1" x14ac:dyDescent="0.3">
      <c r="A35" s="80"/>
      <c r="B35" s="9" t="s">
        <v>14</v>
      </c>
      <c r="C35" s="10" t="s">
        <v>32</v>
      </c>
      <c r="D35" s="10" t="s">
        <v>33</v>
      </c>
      <c r="E35" s="17">
        <v>4</v>
      </c>
      <c r="F35" s="18">
        <v>0.16</v>
      </c>
      <c r="G35" s="18">
        <f>229.7*0.04</f>
        <v>9.1880000000000006</v>
      </c>
      <c r="H35" s="11">
        <f>6.7*0.04</f>
        <v>0.26800000000000002</v>
      </c>
      <c r="I35" s="11">
        <f>1.1*0.04</f>
        <v>4.4000000000000004E-2</v>
      </c>
      <c r="J35" s="12">
        <f>48.3*0.04</f>
        <v>1.9319999999999999</v>
      </c>
    </row>
    <row r="36" spans="1:10" ht="16.5" thickBot="1" x14ac:dyDescent="0.3">
      <c r="A36" s="81" t="s">
        <v>15</v>
      </c>
      <c r="B36" s="70"/>
      <c r="C36" s="70"/>
      <c r="D36" s="70"/>
      <c r="E36" s="74"/>
      <c r="F36" s="19">
        <f>SUM(F33:F35)</f>
        <v>27.000000000000004</v>
      </c>
      <c r="G36" s="19">
        <f>SUM(G33:G35)</f>
        <v>262.80800000000005</v>
      </c>
      <c r="H36" s="19">
        <f>SUM(H33:H35)</f>
        <v>7.8072000000000008</v>
      </c>
      <c r="I36" s="19">
        <f>SUM(I33:I35)</f>
        <v>7.2279999999999998</v>
      </c>
      <c r="J36" s="19">
        <f>SUM(J33:J35)</f>
        <v>41.614000000000004</v>
      </c>
    </row>
    <row r="37" spans="1:10" ht="46.5" customHeight="1" x14ac:dyDescent="0.25">
      <c r="A37" s="59" t="s">
        <v>36</v>
      </c>
      <c r="B37" s="20" t="s">
        <v>31</v>
      </c>
      <c r="C37" s="21" t="s">
        <v>69</v>
      </c>
      <c r="D37" s="21" t="s">
        <v>70</v>
      </c>
      <c r="E37" s="13" t="s">
        <v>71</v>
      </c>
      <c r="F37" s="14">
        <v>4.76</v>
      </c>
      <c r="G37" s="14">
        <f>250*0.25+229.7*0.29</f>
        <v>129.113</v>
      </c>
      <c r="H37" s="14">
        <f>0.4*0.25+6.7*0.29</f>
        <v>2.0429999999999997</v>
      </c>
      <c r="I37" s="14">
        <f>0+1.1*0.29</f>
        <v>0.31900000000000001</v>
      </c>
      <c r="J37" s="15">
        <f>65*0.25+48.3*0.29</f>
        <v>30.256999999999998</v>
      </c>
    </row>
    <row r="38" spans="1:10" ht="15.75" thickBot="1" x14ac:dyDescent="0.3">
      <c r="A38" s="82"/>
      <c r="B38" s="9" t="s">
        <v>18</v>
      </c>
      <c r="C38" s="10" t="s">
        <v>19</v>
      </c>
      <c r="D38" s="10" t="s">
        <v>20</v>
      </c>
      <c r="E38" s="17" t="s">
        <v>34</v>
      </c>
      <c r="F38" s="18">
        <v>2.2400000000000002</v>
      </c>
      <c r="G38" s="18">
        <v>60</v>
      </c>
      <c r="H38" s="18">
        <v>7.0000000000000007E-2</v>
      </c>
      <c r="I38" s="18">
        <v>0.02</v>
      </c>
      <c r="J38" s="30">
        <v>15</v>
      </c>
    </row>
    <row r="39" spans="1:10" ht="16.5" thickBot="1" x14ac:dyDescent="0.3">
      <c r="A39" s="69" t="s">
        <v>15</v>
      </c>
      <c r="B39" s="83"/>
      <c r="C39" s="83"/>
      <c r="D39" s="83"/>
      <c r="E39" s="84"/>
      <c r="F39" s="19">
        <f>SUM(F37:F38)</f>
        <v>7</v>
      </c>
      <c r="G39" s="19">
        <f>SUM(G37:G38)</f>
        <v>189.113</v>
      </c>
      <c r="H39" s="19">
        <f t="shared" ref="H39:J39" si="2">SUM(H37:H38)</f>
        <v>2.1129999999999995</v>
      </c>
      <c r="I39" s="19">
        <f t="shared" si="2"/>
        <v>0.33900000000000002</v>
      </c>
      <c r="J39" s="19">
        <f t="shared" si="2"/>
        <v>45.256999999999998</v>
      </c>
    </row>
    <row r="40" spans="1:10" ht="30" x14ac:dyDescent="0.25">
      <c r="A40" s="72" t="s">
        <v>37</v>
      </c>
      <c r="B40" s="20" t="s">
        <v>16</v>
      </c>
      <c r="C40" s="21" t="s">
        <v>40</v>
      </c>
      <c r="D40" s="21" t="s">
        <v>43</v>
      </c>
      <c r="E40" s="13" t="s">
        <v>44</v>
      </c>
      <c r="F40" s="14">
        <v>10.62</v>
      </c>
      <c r="G40" s="14">
        <f>359*0.25+162*0.1</f>
        <v>105.95</v>
      </c>
      <c r="H40" s="14">
        <f>7.06*0.25+2.6*0.1</f>
        <v>2.0249999999999999</v>
      </c>
      <c r="I40" s="14">
        <f>19.8*0.25+15*0.1</f>
        <v>6.45</v>
      </c>
      <c r="J40" s="15">
        <f>31.61*0.25+3.6*0.1</f>
        <v>8.2624999999999993</v>
      </c>
    </row>
    <row r="41" spans="1:10" x14ac:dyDescent="0.25">
      <c r="A41" s="72"/>
      <c r="B41" s="7" t="s">
        <v>13</v>
      </c>
      <c r="C41" s="5" t="s">
        <v>49</v>
      </c>
      <c r="D41" s="5" t="s">
        <v>50</v>
      </c>
      <c r="E41" s="16">
        <v>20</v>
      </c>
      <c r="F41" s="6">
        <v>16.02</v>
      </c>
      <c r="G41" s="23">
        <f>129.15/50*20</f>
        <v>51.660000000000004</v>
      </c>
      <c r="H41" s="23">
        <f>17.2/50*20</f>
        <v>6.879999999999999</v>
      </c>
      <c r="I41" s="23">
        <f>3.8/50*20</f>
        <v>1.52</v>
      </c>
      <c r="J41" s="24">
        <f>6.6/50*20</f>
        <v>2.64</v>
      </c>
    </row>
    <row r="42" spans="1:10" x14ac:dyDescent="0.25">
      <c r="A42" s="72"/>
      <c r="B42" s="7" t="s">
        <v>17</v>
      </c>
      <c r="C42" s="5" t="s">
        <v>51</v>
      </c>
      <c r="D42" s="5" t="s">
        <v>52</v>
      </c>
      <c r="E42" s="16">
        <v>140</v>
      </c>
      <c r="F42" s="6">
        <v>14.78</v>
      </c>
      <c r="G42" s="47">
        <f>89.4*1.4</f>
        <v>125.16</v>
      </c>
      <c r="H42" s="47">
        <f>1.7*1.4</f>
        <v>2.38</v>
      </c>
      <c r="I42" s="47">
        <f>3.5*1.4</f>
        <v>4.8999999999999995</v>
      </c>
      <c r="J42" s="48">
        <f>12.8*1.4</f>
        <v>17.919999999999998</v>
      </c>
    </row>
    <row r="43" spans="1:10" x14ac:dyDescent="0.25">
      <c r="A43" s="72"/>
      <c r="B43" s="7" t="s">
        <v>18</v>
      </c>
      <c r="C43" s="5" t="s">
        <v>19</v>
      </c>
      <c r="D43" s="5" t="s">
        <v>20</v>
      </c>
      <c r="E43" s="16" t="s">
        <v>34</v>
      </c>
      <c r="F43" s="6">
        <v>2.2400000000000002</v>
      </c>
      <c r="G43" s="6">
        <v>60</v>
      </c>
      <c r="H43" s="6">
        <v>7.0000000000000007E-2</v>
      </c>
      <c r="I43" s="6">
        <v>0.02</v>
      </c>
      <c r="J43" s="8">
        <v>15</v>
      </c>
    </row>
    <row r="44" spans="1:10" ht="15.75" thickBot="1" x14ac:dyDescent="0.3">
      <c r="A44" s="72"/>
      <c r="B44" s="9" t="s">
        <v>14</v>
      </c>
      <c r="C44" s="10" t="s">
        <v>32</v>
      </c>
      <c r="D44" s="10" t="s">
        <v>33</v>
      </c>
      <c r="E44" s="17">
        <v>35</v>
      </c>
      <c r="F44" s="18">
        <v>1.34</v>
      </c>
      <c r="G44" s="18">
        <f>229.7*0.35</f>
        <v>80.394999999999996</v>
      </c>
      <c r="H44" s="11">
        <f>6.7*0.35</f>
        <v>2.3449999999999998</v>
      </c>
      <c r="I44" s="11">
        <f>1.1*0.35</f>
        <v>0.38500000000000001</v>
      </c>
      <c r="J44" s="12">
        <f>48.3*0.35</f>
        <v>16.904999999999998</v>
      </c>
    </row>
    <row r="45" spans="1:10" ht="16.5" thickBot="1" x14ac:dyDescent="0.3">
      <c r="A45" s="69" t="s">
        <v>15</v>
      </c>
      <c r="B45" s="83"/>
      <c r="C45" s="83"/>
      <c r="D45" s="83"/>
      <c r="E45" s="87"/>
      <c r="F45" s="50">
        <f>SUM(F40:F44)</f>
        <v>45.000000000000007</v>
      </c>
      <c r="G45" s="50">
        <f>SUM(G40:G44)</f>
        <v>423.16499999999996</v>
      </c>
      <c r="H45" s="50">
        <f>SUM(H40:H44)</f>
        <v>13.7</v>
      </c>
      <c r="I45" s="50">
        <f>SUM(I40:I44)</f>
        <v>13.275</v>
      </c>
      <c r="J45" s="50">
        <f>SUM(J40:J44)</f>
        <v>60.727499999999992</v>
      </c>
    </row>
    <row r="46" spans="1:10" ht="30" x14ac:dyDescent="0.25">
      <c r="A46" s="72" t="s">
        <v>74</v>
      </c>
      <c r="B46" s="20" t="s">
        <v>16</v>
      </c>
      <c r="C46" s="21" t="s">
        <v>40</v>
      </c>
      <c r="D46" s="21" t="s">
        <v>43</v>
      </c>
      <c r="E46" s="13" t="s">
        <v>44</v>
      </c>
      <c r="F46" s="14">
        <v>10.62</v>
      </c>
      <c r="G46" s="14">
        <f>359*0.25+162*0.1</f>
        <v>105.95</v>
      </c>
      <c r="H46" s="14">
        <f>7.06*0.25+2.6*0.1</f>
        <v>2.0249999999999999</v>
      </c>
      <c r="I46" s="14">
        <f>19.8*0.25+15*0.1</f>
        <v>6.45</v>
      </c>
      <c r="J46" s="15">
        <f>31.61*0.25+3.6*0.1</f>
        <v>8.2624999999999993</v>
      </c>
    </row>
    <row r="47" spans="1:10" x14ac:dyDescent="0.25">
      <c r="A47" s="72"/>
      <c r="B47" s="7" t="s">
        <v>13</v>
      </c>
      <c r="C47" s="5" t="s">
        <v>49</v>
      </c>
      <c r="D47" s="5" t="s">
        <v>50</v>
      </c>
      <c r="E47" s="16">
        <v>50</v>
      </c>
      <c r="F47" s="6">
        <v>40.049999999999997</v>
      </c>
      <c r="G47" s="23">
        <f>129.15*1</f>
        <v>129.15</v>
      </c>
      <c r="H47" s="23">
        <f>17.2*1</f>
        <v>17.2</v>
      </c>
      <c r="I47" s="23">
        <f>3.8*1</f>
        <v>3.8</v>
      </c>
      <c r="J47" s="24">
        <f>6.6*1</f>
        <v>6.6</v>
      </c>
    </row>
    <row r="48" spans="1:10" x14ac:dyDescent="0.25">
      <c r="A48" s="72"/>
      <c r="B48" s="7" t="s">
        <v>17</v>
      </c>
      <c r="C48" s="5" t="s">
        <v>51</v>
      </c>
      <c r="D48" s="5" t="s">
        <v>52</v>
      </c>
      <c r="E48" s="16">
        <v>140</v>
      </c>
      <c r="F48" s="6">
        <v>14.78</v>
      </c>
      <c r="G48" s="47">
        <f>89.4*1.4</f>
        <v>125.16</v>
      </c>
      <c r="H48" s="47">
        <f>1.7*1.4</f>
        <v>2.38</v>
      </c>
      <c r="I48" s="47">
        <f>3.5*1.4</f>
        <v>4.8999999999999995</v>
      </c>
      <c r="J48" s="48">
        <f>12.8*1.4</f>
        <v>17.919999999999998</v>
      </c>
    </row>
    <row r="49" spans="1:10" x14ac:dyDescent="0.25">
      <c r="A49" s="72"/>
      <c r="B49" s="7" t="s">
        <v>45</v>
      </c>
      <c r="C49" s="5" t="s">
        <v>61</v>
      </c>
      <c r="D49" s="5" t="s">
        <v>62</v>
      </c>
      <c r="E49" s="16">
        <v>200</v>
      </c>
      <c r="F49" s="6">
        <v>6.04</v>
      </c>
      <c r="G49" s="6">
        <v>132.80000000000001</v>
      </c>
      <c r="H49" s="6">
        <v>0.66</v>
      </c>
      <c r="I49" s="6">
        <v>0.09</v>
      </c>
      <c r="J49" s="8">
        <v>32.01</v>
      </c>
    </row>
    <row r="50" spans="1:10" x14ac:dyDescent="0.25">
      <c r="A50" s="72"/>
      <c r="B50" s="95" t="s">
        <v>21</v>
      </c>
      <c r="C50" s="96" t="s">
        <v>72</v>
      </c>
      <c r="D50" s="96" t="s">
        <v>73</v>
      </c>
      <c r="E50" s="97">
        <v>50</v>
      </c>
      <c r="F50" s="98">
        <v>3.58</v>
      </c>
      <c r="G50" s="98">
        <v>160.5</v>
      </c>
      <c r="H50" s="98">
        <v>3.39</v>
      </c>
      <c r="I50" s="98">
        <v>6.98</v>
      </c>
      <c r="J50" s="99">
        <v>21.07</v>
      </c>
    </row>
    <row r="51" spans="1:10" ht="15.75" thickBot="1" x14ac:dyDescent="0.3">
      <c r="A51" s="72"/>
      <c r="B51" s="9" t="s">
        <v>14</v>
      </c>
      <c r="C51" s="10" t="s">
        <v>32</v>
      </c>
      <c r="D51" s="10" t="s">
        <v>33</v>
      </c>
      <c r="E51" s="17">
        <v>50</v>
      </c>
      <c r="F51" s="18">
        <v>1.93</v>
      </c>
      <c r="G51" s="18">
        <f>229.7*0.5</f>
        <v>114.85</v>
      </c>
      <c r="H51" s="11">
        <f>6.7*0.5</f>
        <v>3.35</v>
      </c>
      <c r="I51" s="11">
        <f>1.1*0.5</f>
        <v>0.55000000000000004</v>
      </c>
      <c r="J51" s="12">
        <f>48.3*0.5</f>
        <v>24.15</v>
      </c>
    </row>
    <row r="52" spans="1:10" ht="16.5" thickBot="1" x14ac:dyDescent="0.3">
      <c r="A52" s="69" t="s">
        <v>15</v>
      </c>
      <c r="B52" s="85"/>
      <c r="C52" s="85"/>
      <c r="D52" s="85"/>
      <c r="E52" s="86"/>
      <c r="F52" s="51">
        <f>SUM(F46:F51)</f>
        <v>77</v>
      </c>
      <c r="G52" s="51">
        <f>SUM(G46:G51)</f>
        <v>768.41</v>
      </c>
      <c r="H52" s="51">
        <f>SUM(H46:H51)</f>
        <v>29.004999999999999</v>
      </c>
      <c r="I52" s="51">
        <f>SUM(I46:I51)</f>
        <v>22.77</v>
      </c>
      <c r="J52" s="51">
        <f>SUM(J46:J51)</f>
        <v>110.01249999999999</v>
      </c>
    </row>
    <row r="53" spans="1:10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 ht="15.75" thickBot="1" x14ac:dyDescent="0.3">
      <c r="A54" s="67" t="s">
        <v>25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5.75" x14ac:dyDescent="0.25">
      <c r="A55" s="22"/>
      <c r="B55" s="22"/>
      <c r="C55" s="66" t="s">
        <v>23</v>
      </c>
      <c r="D55" s="66"/>
      <c r="E55" s="52"/>
      <c r="F55" s="52"/>
      <c r="G55" s="68"/>
      <c r="H55" s="68"/>
      <c r="I55" s="68"/>
      <c r="J55" s="68"/>
    </row>
    <row r="56" spans="1:10" x14ac:dyDescent="0.25">
      <c r="A56" s="1"/>
      <c r="B56" s="1"/>
      <c r="C56" s="1"/>
      <c r="D56" s="1"/>
      <c r="E56" s="52"/>
      <c r="F56" s="52"/>
      <c r="G56" s="52"/>
      <c r="H56" s="52"/>
      <c r="I56" s="52"/>
      <c r="J56" s="52"/>
    </row>
    <row r="57" spans="1:10" x14ac:dyDescent="0.25">
      <c r="A57" s="53" t="s">
        <v>24</v>
      </c>
      <c r="B57" s="53"/>
      <c r="C57" s="52"/>
      <c r="D57" s="52"/>
      <c r="E57" s="52"/>
      <c r="F57" s="52"/>
      <c r="G57" s="52"/>
      <c r="H57" s="52"/>
      <c r="I57" s="52"/>
      <c r="J57" s="52"/>
    </row>
    <row r="58" spans="1:10" x14ac:dyDescent="0.25">
      <c r="A58" s="53" t="s">
        <v>26</v>
      </c>
      <c r="B58" s="53"/>
      <c r="C58" s="52"/>
      <c r="D58" s="52"/>
      <c r="E58" s="52"/>
      <c r="F58" s="52"/>
      <c r="G58" s="52"/>
      <c r="H58" s="52"/>
      <c r="I58" s="52"/>
      <c r="J58" s="52"/>
    </row>
  </sheetData>
  <mergeCells count="25">
    <mergeCell ref="A57:B57"/>
    <mergeCell ref="A58:B58"/>
    <mergeCell ref="A45:E45"/>
    <mergeCell ref="A46:A51"/>
    <mergeCell ref="A52:E52"/>
    <mergeCell ref="A54:J54"/>
    <mergeCell ref="C55:D55"/>
    <mergeCell ref="G55:J55"/>
    <mergeCell ref="A33:A35"/>
    <mergeCell ref="A36:E36"/>
    <mergeCell ref="A37:A38"/>
    <mergeCell ref="A39:E39"/>
    <mergeCell ref="A40:A44"/>
    <mergeCell ref="B1:C1"/>
    <mergeCell ref="G1:J1"/>
    <mergeCell ref="A8:E8"/>
    <mergeCell ref="A9:A13"/>
    <mergeCell ref="A14:E14"/>
    <mergeCell ref="A22:E22"/>
    <mergeCell ref="A3:A7"/>
    <mergeCell ref="A27:A31"/>
    <mergeCell ref="A23:A25"/>
    <mergeCell ref="A26:E26"/>
    <mergeCell ref="A15:A21"/>
    <mergeCell ref="A32:E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2022-11-29T04:51:52Z</dcterms:modified>
</cp:coreProperties>
</file>