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G53" i="1"/>
  <c r="F53" i="1"/>
  <c r="J52" i="1"/>
  <c r="I52" i="1"/>
  <c r="H52" i="1"/>
  <c r="G52" i="1"/>
  <c r="J51" i="1"/>
  <c r="I51" i="1"/>
  <c r="H51" i="1"/>
  <c r="G51" i="1"/>
  <c r="J49" i="1"/>
  <c r="I49" i="1"/>
  <c r="H49" i="1"/>
  <c r="G49" i="1"/>
  <c r="J48" i="1"/>
  <c r="J53" i="1" s="1"/>
  <c r="I48" i="1"/>
  <c r="H48" i="1"/>
  <c r="H53" i="1" s="1"/>
  <c r="G48" i="1"/>
  <c r="J46" i="1"/>
  <c r="H46" i="1"/>
  <c r="F46" i="1"/>
  <c r="J45" i="1"/>
  <c r="I45" i="1"/>
  <c r="H45" i="1"/>
  <c r="G45" i="1"/>
  <c r="J43" i="1"/>
  <c r="I43" i="1"/>
  <c r="H43" i="1"/>
  <c r="G43" i="1"/>
  <c r="J42" i="1"/>
  <c r="I42" i="1"/>
  <c r="I46" i="1" s="1"/>
  <c r="H42" i="1"/>
  <c r="G42" i="1"/>
  <c r="G46" i="1" s="1"/>
  <c r="I40" i="1"/>
  <c r="G40" i="1"/>
  <c r="F40" i="1"/>
  <c r="J39" i="1"/>
  <c r="J40" i="1" s="1"/>
  <c r="I39" i="1"/>
  <c r="H39" i="1"/>
  <c r="H40" i="1" s="1"/>
  <c r="G39" i="1"/>
  <c r="J37" i="1"/>
  <c r="H37" i="1"/>
  <c r="F37" i="1"/>
  <c r="J36" i="1"/>
  <c r="I36" i="1"/>
  <c r="H36" i="1"/>
  <c r="G36" i="1"/>
  <c r="J34" i="1"/>
  <c r="I34" i="1"/>
  <c r="H34" i="1"/>
  <c r="G34" i="1"/>
  <c r="J33" i="1"/>
  <c r="I33" i="1"/>
  <c r="I37" i="1" s="1"/>
  <c r="H33" i="1"/>
  <c r="G33" i="1"/>
  <c r="G37" i="1" s="1"/>
  <c r="I32" i="1"/>
  <c r="G32" i="1"/>
  <c r="F32" i="1"/>
  <c r="J31" i="1"/>
  <c r="I31" i="1"/>
  <c r="H31" i="1"/>
  <c r="G31" i="1"/>
  <c r="J29" i="1"/>
  <c r="I29" i="1"/>
  <c r="H29" i="1"/>
  <c r="G29" i="1"/>
  <c r="J28" i="1"/>
  <c r="I28" i="1"/>
  <c r="H28" i="1"/>
  <c r="G28" i="1"/>
  <c r="J27" i="1"/>
  <c r="J32" i="1" s="1"/>
  <c r="I27" i="1"/>
  <c r="H27" i="1"/>
  <c r="H32" i="1" s="1"/>
  <c r="G27" i="1"/>
  <c r="J25" i="1" l="1"/>
  <c r="I25" i="1"/>
  <c r="H25" i="1"/>
  <c r="G25" i="1"/>
  <c r="J23" i="1"/>
  <c r="I23" i="1"/>
  <c r="H23" i="1"/>
  <c r="G23" i="1"/>
  <c r="F22" i="1"/>
  <c r="J21" i="1"/>
  <c r="I21" i="1"/>
  <c r="H21" i="1"/>
  <c r="G21" i="1"/>
  <c r="J19" i="1"/>
  <c r="I19" i="1"/>
  <c r="H19" i="1"/>
  <c r="G19" i="1"/>
  <c r="J18" i="1"/>
  <c r="J22" i="1" s="1"/>
  <c r="I18" i="1"/>
  <c r="I22" i="1" s="1"/>
  <c r="H18" i="1"/>
  <c r="H22" i="1" s="1"/>
  <c r="G18" i="1"/>
  <c r="G22" i="1" s="1"/>
  <c r="J14" i="1" l="1"/>
  <c r="I14" i="1"/>
  <c r="H14" i="1"/>
  <c r="G14" i="1"/>
  <c r="J12" i="1"/>
  <c r="I12" i="1"/>
  <c r="H12" i="1"/>
  <c r="G12" i="1"/>
  <c r="J11" i="1" l="1"/>
  <c r="I11" i="1"/>
  <c r="H11" i="1"/>
  <c r="G11" i="1"/>
  <c r="J8" i="1"/>
  <c r="I8" i="1"/>
  <c r="H8" i="1"/>
  <c r="G8" i="1"/>
  <c r="J7" i="1"/>
  <c r="I7" i="1"/>
  <c r="H7" i="1"/>
  <c r="G7" i="1"/>
  <c r="J4" i="1"/>
  <c r="I4" i="1"/>
  <c r="H4" i="1"/>
  <c r="G4" i="1"/>
  <c r="J3" i="1" l="1"/>
  <c r="I3" i="1"/>
  <c r="H3" i="1"/>
  <c r="G3" i="1"/>
  <c r="F9" i="1" l="1"/>
  <c r="F15" i="1" l="1"/>
  <c r="G26" i="1" l="1"/>
  <c r="H26" i="1"/>
  <c r="I26" i="1"/>
  <c r="J26" i="1"/>
  <c r="F26" i="1"/>
  <c r="J15" i="1" l="1"/>
  <c r="H15" i="1"/>
  <c r="G15" i="1"/>
  <c r="I15" i="1" l="1"/>
  <c r="G9" i="1"/>
  <c r="H9" i="1"/>
  <c r="I9" i="1"/>
  <c r="J9" i="1"/>
</calcChain>
</file>

<file path=xl/sharedStrings.xml><?xml version="1.0" encoding="utf-8"?>
<sst xmlns="http://schemas.openxmlformats.org/spreadsheetml/2006/main" count="174" uniqueCount="70">
  <si>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</si>
  <si>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</si>
  <si>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</si>
  <si>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</si>
  <si>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</si>
  <si>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</si>
  <si>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</si>
  <si>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</si>
  <si>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</si>
  <si>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</si>
  <si>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</si>
  <si>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</si>
  <si>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</si>
  <si>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</si>
  <si>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</si>
  <si>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</si>
  <si>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</si>
  <si>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</si>
  <si>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</si>
  <si>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</si>
  <si>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</si>
  <si>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</si>
  <si>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</si>
  <si>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</si>
  <si>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</si>
  <si>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</si>
  <si>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</si>
  <si>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</si>
  <si>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</si>
  <si>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</si>
  <si>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</si>
  <si>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</si>
  <si>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</si>
  <si>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</si>
  <si>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</si>
  <si>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</si>
  <si>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</si>
  <si>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№268-2015г.</t>
  </si>
  <si>
    <t>Котлета из свинины</t>
  </si>
  <si>
    <t>Фрукт</t>
  </si>
  <si>
    <t>№338-2015г.</t>
  </si>
  <si>
    <t>Завтрак 1-4 кл и дети-инвалиды 1 смена</t>
  </si>
  <si>
    <t>Кондитерское изделие</t>
  </si>
  <si>
    <t>ПР</t>
  </si>
  <si>
    <t>№304-2015г.</t>
  </si>
  <si>
    <t>Рис отварной</t>
  </si>
  <si>
    <t>№306-2015г.</t>
  </si>
  <si>
    <t xml:space="preserve">Бобовые отварные (кукуруза сахарная консервированная) </t>
  </si>
  <si>
    <t>Печенье сахарное</t>
  </si>
  <si>
    <t>ТТК №48</t>
  </si>
  <si>
    <t>Филе индейки тушёное</t>
  </si>
  <si>
    <t>40/40</t>
  </si>
  <si>
    <t>Напиток (сладкое блюдо)</t>
  </si>
  <si>
    <t>№342-2015г.</t>
  </si>
  <si>
    <t>Компот из свежих груш</t>
  </si>
  <si>
    <t>№102-2015г.</t>
  </si>
  <si>
    <t>Суп картофельный с горохом</t>
  </si>
  <si>
    <t>ТТК №6</t>
  </si>
  <si>
    <t>Булочка "Рулетик с маком"</t>
  </si>
  <si>
    <t>Апельсин свежий (порция)</t>
  </si>
  <si>
    <t>№309-2015г.</t>
  </si>
  <si>
    <t>Макароны отварные</t>
  </si>
  <si>
    <t>№1-2015г.</t>
  </si>
  <si>
    <t>Бутерброд с маслом</t>
  </si>
  <si>
    <t>ТТК №47</t>
  </si>
  <si>
    <t>Бутерброд с икрой</t>
  </si>
  <si>
    <t>5/3/20</t>
  </si>
  <si>
    <t>5/25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</si>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</sst>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12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/>
    <xf numFmtId="2" fontId="4" fillId="0" borderId="25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3" fillId="0" borderId="15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2" fontId="4" fillId="0" borderId="30" xfId="0" applyNumberFormat="1" applyFont="1" applyBorder="1" applyAlignment="1">
      <alignment vertical="center" wrapText="1"/>
    </xf>
    <xf numFmtId="2" fontId="4" fillId="0" borderId="36" xfId="0" applyNumberFormat="1" applyFont="1" applyBorder="1" applyAlignment="1">
      <alignment vertical="center" wrapText="1"/>
    </xf>
    <xf numFmtId="2" fontId="4" fillId="0" borderId="37" xfId="0" applyNumberFormat="1" applyFont="1" applyBorder="1" applyAlignment="1">
      <alignment vertical="center" wrapText="1"/>
    </xf>
    <xf numFmtId="2" fontId="4" fillId="0" borderId="35" xfId="0" applyNumberFormat="1" applyFont="1" applyBorder="1" applyAlignment="1">
      <alignment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A27" sqref="A27:J53"/>
    </sheetView>
  </sheetViews>
  <sheetFormatPr defaultRowHeight="15" x14ac:dyDescent="0.25"/>
  <cols>
    <col min="1" max="1" width="20.140625" style="2" customWidth="1"/>
    <col min="2" max="2" width="17.1406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8" t="s">
        <v>22</v>
      </c>
      <c r="C1" s="59"/>
      <c r="D1" s="1" t="s">
        <v>1</v>
      </c>
      <c r="E1" s="26"/>
      <c r="F1" s="1" t="s">
        <v>2</v>
      </c>
      <c r="G1" s="60">
        <v>44895</v>
      </c>
      <c r="H1" s="61"/>
      <c r="I1" s="61"/>
      <c r="J1" s="62"/>
      <c r="K1" s="1"/>
      <c r="L1" s="1"/>
    </row>
    <row r="2" spans="1:12" ht="15.75" thickBot="1" x14ac:dyDescent="0.3">
      <c r="A2" s="32" t="s">
        <v>3</v>
      </c>
      <c r="B2" s="5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5" t="s">
        <v>9</v>
      </c>
      <c r="H2" s="5" t="s">
        <v>10</v>
      </c>
      <c r="I2" s="5" t="s">
        <v>11</v>
      </c>
      <c r="J2" s="34" t="s">
        <v>12</v>
      </c>
    </row>
    <row r="3" spans="1:12" ht="15" customHeight="1" x14ac:dyDescent="0.25">
      <c r="A3" s="51" t="s">
        <v>41</v>
      </c>
      <c r="B3" s="21" t="s">
        <v>13</v>
      </c>
      <c r="C3" s="22" t="s">
        <v>49</v>
      </c>
      <c r="D3" s="22" t="s">
        <v>50</v>
      </c>
      <c r="E3" s="14" t="s">
        <v>51</v>
      </c>
      <c r="F3" s="15">
        <v>41.94</v>
      </c>
      <c r="G3" s="89">
        <f>151.2*0.8</f>
        <v>120.96</v>
      </c>
      <c r="H3" s="89">
        <f>15.6*0.8</f>
        <v>12.48</v>
      </c>
      <c r="I3" s="89">
        <f>8.4*0.8</f>
        <v>6.7200000000000006</v>
      </c>
      <c r="J3" s="90">
        <f>3.3*0.8</f>
        <v>2.64</v>
      </c>
    </row>
    <row r="4" spans="1:12" s="49" customFormat="1" ht="15" customHeight="1" x14ac:dyDescent="0.25">
      <c r="A4" s="51"/>
      <c r="B4" s="8" t="s">
        <v>17</v>
      </c>
      <c r="C4" s="6" t="s">
        <v>44</v>
      </c>
      <c r="D4" s="6" t="s">
        <v>45</v>
      </c>
      <c r="E4" s="17">
        <v>150</v>
      </c>
      <c r="F4" s="7">
        <v>14.93</v>
      </c>
      <c r="G4" s="7">
        <f>1398*0.15</f>
        <v>209.7</v>
      </c>
      <c r="H4" s="7">
        <f>24.34*0.15</f>
        <v>3.6509999999999998</v>
      </c>
      <c r="I4" s="7">
        <f>35.83*0.15</f>
        <v>5.3744999999999994</v>
      </c>
      <c r="J4" s="9">
        <f>244.56*0.15</f>
        <v>36.683999999999997</v>
      </c>
    </row>
    <row r="5" spans="1:12" s="49" customFormat="1" ht="15" customHeight="1" x14ac:dyDescent="0.25">
      <c r="A5" s="51"/>
      <c r="B5" s="8" t="s">
        <v>18</v>
      </c>
      <c r="C5" s="6" t="s">
        <v>19</v>
      </c>
      <c r="D5" s="6" t="s">
        <v>20</v>
      </c>
      <c r="E5" s="17" t="s">
        <v>33</v>
      </c>
      <c r="F5" s="7">
        <v>2.2400000000000002</v>
      </c>
      <c r="G5" s="7">
        <v>60</v>
      </c>
      <c r="H5" s="7">
        <v>7.0000000000000007E-2</v>
      </c>
      <c r="I5" s="7">
        <v>0.02</v>
      </c>
      <c r="J5" s="9">
        <v>15</v>
      </c>
    </row>
    <row r="6" spans="1:12" s="46" customFormat="1" x14ac:dyDescent="0.25">
      <c r="A6" s="51"/>
      <c r="B6" s="8" t="s">
        <v>21</v>
      </c>
      <c r="C6" s="6" t="s">
        <v>57</v>
      </c>
      <c r="D6" s="6" t="s">
        <v>58</v>
      </c>
      <c r="E6" s="17">
        <v>50</v>
      </c>
      <c r="F6" s="7">
        <v>7.15</v>
      </c>
      <c r="G6" s="7">
        <v>198.6</v>
      </c>
      <c r="H6" s="80">
        <v>4.0999999999999996</v>
      </c>
      <c r="I6" s="80">
        <v>7.7</v>
      </c>
      <c r="J6" s="81">
        <v>28.2</v>
      </c>
    </row>
    <row r="7" spans="1:12" s="40" customFormat="1" ht="15" customHeight="1" x14ac:dyDescent="0.25">
      <c r="A7" s="51"/>
      <c r="B7" s="8" t="s">
        <v>14</v>
      </c>
      <c r="C7" s="6" t="s">
        <v>31</v>
      </c>
      <c r="D7" s="6" t="s">
        <v>32</v>
      </c>
      <c r="E7" s="17">
        <v>47</v>
      </c>
      <c r="F7" s="7">
        <v>1.82</v>
      </c>
      <c r="G7" s="7">
        <f>229.7*0.47</f>
        <v>107.95899999999999</v>
      </c>
      <c r="H7" s="80">
        <f>6.7*0.47</f>
        <v>3.149</v>
      </c>
      <c r="I7" s="80">
        <f>1.1*0.47</f>
        <v>0.51700000000000002</v>
      </c>
      <c r="J7" s="81">
        <f>48.3*0.47</f>
        <v>22.700999999999997</v>
      </c>
    </row>
    <row r="8" spans="1:12" s="39" customFormat="1" ht="15.75" thickBot="1" x14ac:dyDescent="0.3">
      <c r="A8" s="51"/>
      <c r="B8" s="10" t="s">
        <v>39</v>
      </c>
      <c r="C8" s="11" t="s">
        <v>40</v>
      </c>
      <c r="D8" s="11" t="s">
        <v>59</v>
      </c>
      <c r="E8" s="18">
        <v>105</v>
      </c>
      <c r="F8" s="19">
        <v>29.07</v>
      </c>
      <c r="G8" s="45">
        <f>43*1.05</f>
        <v>45.15</v>
      </c>
      <c r="H8" s="45">
        <f>0.9*1.05</f>
        <v>0.94500000000000006</v>
      </c>
      <c r="I8" s="45">
        <f>0.2*1.05</f>
        <v>0.21000000000000002</v>
      </c>
      <c r="J8" s="82">
        <f>8.1*1.05</f>
        <v>8.5050000000000008</v>
      </c>
    </row>
    <row r="9" spans="1:12" ht="16.5" thickBot="1" x14ac:dyDescent="0.3">
      <c r="A9" s="66" t="s">
        <v>15</v>
      </c>
      <c r="B9" s="83"/>
      <c r="C9" s="83"/>
      <c r="D9" s="83"/>
      <c r="E9" s="84"/>
      <c r="F9" s="85">
        <f>SUM(F3:F8)</f>
        <v>97.15</v>
      </c>
      <c r="G9" s="85">
        <f>SUM(G3:G8)</f>
        <v>742.36899999999991</v>
      </c>
      <c r="H9" s="86">
        <f>SUM(H3:H8)</f>
        <v>24.395000000000003</v>
      </c>
      <c r="I9" s="87">
        <f>SUM(I3:I8)</f>
        <v>20.541499999999999</v>
      </c>
      <c r="J9" s="88">
        <f>SUM(J3:J8)</f>
        <v>113.72999999999999</v>
      </c>
    </row>
    <row r="10" spans="1:12" x14ac:dyDescent="0.25">
      <c r="A10" s="52" t="s">
        <v>27</v>
      </c>
      <c r="B10" s="21" t="s">
        <v>16</v>
      </c>
      <c r="C10" s="22" t="s">
        <v>55</v>
      </c>
      <c r="D10" s="22" t="s">
        <v>56</v>
      </c>
      <c r="E10" s="14">
        <v>250</v>
      </c>
      <c r="F10" s="15">
        <v>5.98</v>
      </c>
      <c r="G10" s="15">
        <v>148.25</v>
      </c>
      <c r="H10" s="15">
        <v>5.49</v>
      </c>
      <c r="I10" s="15">
        <v>5.27</v>
      </c>
      <c r="J10" s="16">
        <v>16.54</v>
      </c>
      <c r="K10"/>
    </row>
    <row r="11" spans="1:12" x14ac:dyDescent="0.25">
      <c r="A11" s="52"/>
      <c r="B11" s="8" t="s">
        <v>13</v>
      </c>
      <c r="C11" s="6" t="s">
        <v>37</v>
      </c>
      <c r="D11" s="6" t="s">
        <v>38</v>
      </c>
      <c r="E11" s="17">
        <v>50</v>
      </c>
      <c r="F11" s="7">
        <v>23.74</v>
      </c>
      <c r="G11" s="24">
        <f>182/50*50</f>
        <v>182</v>
      </c>
      <c r="H11" s="24">
        <f>6.74/50*50</f>
        <v>6.74</v>
      </c>
      <c r="I11" s="24">
        <f>13.91/50*50</f>
        <v>13.91</v>
      </c>
      <c r="J11" s="25">
        <f>7.09/50*50</f>
        <v>7.0900000000000007</v>
      </c>
      <c r="K11"/>
    </row>
    <row r="12" spans="1:12" s="29" customFormat="1" x14ac:dyDescent="0.25">
      <c r="A12" s="52"/>
      <c r="B12" s="8" t="s">
        <v>17</v>
      </c>
      <c r="C12" s="6" t="s">
        <v>60</v>
      </c>
      <c r="D12" s="6" t="s">
        <v>61</v>
      </c>
      <c r="E12" s="17">
        <v>100</v>
      </c>
      <c r="F12" s="7">
        <v>10.050000000000001</v>
      </c>
      <c r="G12" s="43">
        <f>112.3*1</f>
        <v>112.3</v>
      </c>
      <c r="H12" s="43">
        <f>3.68*1</f>
        <v>3.68</v>
      </c>
      <c r="I12" s="43">
        <f>3.01*1</f>
        <v>3.01</v>
      </c>
      <c r="J12" s="44">
        <f>17.63*1</f>
        <v>17.63</v>
      </c>
      <c r="K12"/>
    </row>
    <row r="13" spans="1:12" s="29" customFormat="1" x14ac:dyDescent="0.25">
      <c r="A13" s="52"/>
      <c r="B13" s="8" t="s">
        <v>18</v>
      </c>
      <c r="C13" s="6" t="s">
        <v>19</v>
      </c>
      <c r="D13" s="6" t="s">
        <v>20</v>
      </c>
      <c r="E13" s="17" t="s">
        <v>33</v>
      </c>
      <c r="F13" s="7">
        <v>2.2400000000000002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52"/>
      <c r="B14" s="10" t="s">
        <v>14</v>
      </c>
      <c r="C14" s="11" t="s">
        <v>31</v>
      </c>
      <c r="D14" s="11" t="s">
        <v>32</v>
      </c>
      <c r="E14" s="18">
        <v>7.5</v>
      </c>
      <c r="F14" s="19">
        <v>0.28000000000000003</v>
      </c>
      <c r="G14" s="19">
        <f>229.7*0.075</f>
        <v>17.227499999999999</v>
      </c>
      <c r="H14" s="12">
        <f>6.7*0.075</f>
        <v>0.50249999999999995</v>
      </c>
      <c r="I14" s="12">
        <f>1.1*0.075</f>
        <v>8.2500000000000004E-2</v>
      </c>
      <c r="J14" s="13">
        <f>48.3*0.075</f>
        <v>3.6224999999999996</v>
      </c>
    </row>
    <row r="15" spans="1:12" ht="16.5" thickBot="1" x14ac:dyDescent="0.3">
      <c r="A15" s="67" t="s">
        <v>15</v>
      </c>
      <c r="B15" s="68"/>
      <c r="C15" s="68"/>
      <c r="D15" s="68"/>
      <c r="E15" s="69"/>
      <c r="F15" s="28">
        <f>SUM(F10:F14)</f>
        <v>42.29</v>
      </c>
      <c r="G15" s="28">
        <f t="shared" ref="G15:J15" si="0">SUM(G10:G14)</f>
        <v>519.77750000000003</v>
      </c>
      <c r="H15" s="28">
        <f t="shared" si="0"/>
        <v>16.482500000000002</v>
      </c>
      <c r="I15" s="28">
        <f t="shared" si="0"/>
        <v>22.292499999999997</v>
      </c>
      <c r="J15" s="28">
        <f t="shared" si="0"/>
        <v>59.8825</v>
      </c>
    </row>
    <row r="16" spans="1:12" s="38" customFormat="1" ht="15.75" x14ac:dyDescent="0.25">
      <c r="A16" s="56" t="s">
        <v>28</v>
      </c>
      <c r="B16" s="92" t="s">
        <v>30</v>
      </c>
      <c r="C16" s="42" t="s">
        <v>64</v>
      </c>
      <c r="D16" s="42" t="s">
        <v>65</v>
      </c>
      <c r="E16" s="91" t="s">
        <v>66</v>
      </c>
      <c r="F16" s="15">
        <v>49.96</v>
      </c>
      <c r="G16" s="15">
        <v>77.3</v>
      </c>
      <c r="H16" s="15">
        <v>2.9</v>
      </c>
      <c r="I16" s="15">
        <v>3</v>
      </c>
      <c r="J16" s="16">
        <v>9.6999999999999993</v>
      </c>
    </row>
    <row r="17" spans="1:11" s="48" customFormat="1" x14ac:dyDescent="0.25">
      <c r="A17" s="57"/>
      <c r="B17" s="8" t="s">
        <v>16</v>
      </c>
      <c r="C17" s="6" t="s">
        <v>55</v>
      </c>
      <c r="D17" s="6" t="s">
        <v>56</v>
      </c>
      <c r="E17" s="17">
        <v>250</v>
      </c>
      <c r="F17" s="7">
        <v>5.98</v>
      </c>
      <c r="G17" s="7">
        <v>148.25</v>
      </c>
      <c r="H17" s="7">
        <v>5.49</v>
      </c>
      <c r="I17" s="7">
        <v>5.27</v>
      </c>
      <c r="J17" s="9">
        <v>16.54</v>
      </c>
    </row>
    <row r="18" spans="1:11" s="27" customFormat="1" x14ac:dyDescent="0.25">
      <c r="A18" s="57"/>
      <c r="B18" s="8" t="s">
        <v>13</v>
      </c>
      <c r="C18" s="6" t="s">
        <v>37</v>
      </c>
      <c r="D18" s="6" t="s">
        <v>38</v>
      </c>
      <c r="E18" s="17">
        <v>60</v>
      </c>
      <c r="F18" s="7">
        <v>28.49</v>
      </c>
      <c r="G18" s="24">
        <f>182/50*60</f>
        <v>218.4</v>
      </c>
      <c r="H18" s="24">
        <f>6.74/50*60</f>
        <v>8.088000000000001</v>
      </c>
      <c r="I18" s="24">
        <f>13.91/50*60</f>
        <v>16.692</v>
      </c>
      <c r="J18" s="25">
        <f>7.09/50*60</f>
        <v>8.5080000000000009</v>
      </c>
      <c r="K18"/>
    </row>
    <row r="19" spans="1:11" s="36" customFormat="1" x14ac:dyDescent="0.25">
      <c r="A19" s="57"/>
      <c r="B19" s="8" t="s">
        <v>17</v>
      </c>
      <c r="C19" s="6" t="s">
        <v>60</v>
      </c>
      <c r="D19" s="6" t="s">
        <v>61</v>
      </c>
      <c r="E19" s="17">
        <v>100</v>
      </c>
      <c r="F19" s="7">
        <v>10.050000000000001</v>
      </c>
      <c r="G19" s="43">
        <f>112.3*1</f>
        <v>112.3</v>
      </c>
      <c r="H19" s="43">
        <f>3.68*1</f>
        <v>3.68</v>
      </c>
      <c r="I19" s="43">
        <f>3.01*1</f>
        <v>3.01</v>
      </c>
      <c r="J19" s="44">
        <f>17.63*1</f>
        <v>17.63</v>
      </c>
      <c r="K19"/>
    </row>
    <row r="20" spans="1:11" s="35" customFormat="1" x14ac:dyDescent="0.25">
      <c r="A20" s="57"/>
      <c r="B20" s="8" t="s">
        <v>18</v>
      </c>
      <c r="C20" s="6" t="s">
        <v>19</v>
      </c>
      <c r="D20" s="6" t="s">
        <v>20</v>
      </c>
      <c r="E20" s="17" t="s">
        <v>33</v>
      </c>
      <c r="F20" s="7">
        <v>2.2400000000000002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1" s="35" customFormat="1" ht="15.75" thickBot="1" x14ac:dyDescent="0.3">
      <c r="A21" s="57"/>
      <c r="B21" s="10" t="s">
        <v>14</v>
      </c>
      <c r="C21" s="11" t="s">
        <v>31</v>
      </c>
      <c r="D21" s="11" t="s">
        <v>32</v>
      </c>
      <c r="E21" s="18">
        <v>11</v>
      </c>
      <c r="F21" s="19">
        <v>0.43</v>
      </c>
      <c r="G21" s="19">
        <f>229.7*0.11</f>
        <v>25.266999999999999</v>
      </c>
      <c r="H21" s="12">
        <f>6.7*0.11</f>
        <v>0.73699999999999999</v>
      </c>
      <c r="I21" s="12">
        <f>1.1*0.11</f>
        <v>0.12100000000000001</v>
      </c>
      <c r="J21" s="13">
        <f>48.3*0.11</f>
        <v>5.3129999999999997</v>
      </c>
    </row>
    <row r="22" spans="1:11" s="30" customFormat="1" ht="16.5" thickBot="1" x14ac:dyDescent="0.3">
      <c r="A22" s="66" t="s">
        <v>15</v>
      </c>
      <c r="B22" s="70"/>
      <c r="C22" s="70"/>
      <c r="D22" s="70"/>
      <c r="E22" s="71"/>
      <c r="F22" s="20">
        <f>SUM(F16:F21)</f>
        <v>97.149999999999991</v>
      </c>
      <c r="G22" s="20">
        <f t="shared" ref="G22:J22" si="1">SUM(G16:G21)</f>
        <v>641.51700000000005</v>
      </c>
      <c r="H22" s="20">
        <f t="shared" si="1"/>
        <v>20.965</v>
      </c>
      <c r="I22" s="20">
        <f t="shared" si="1"/>
        <v>28.113</v>
      </c>
      <c r="J22" s="20">
        <f t="shared" si="1"/>
        <v>72.691000000000003</v>
      </c>
      <c r="K22"/>
    </row>
    <row r="23" spans="1:11" s="35" customFormat="1" x14ac:dyDescent="0.25">
      <c r="A23" s="52" t="s">
        <v>29</v>
      </c>
      <c r="B23" s="21" t="s">
        <v>30</v>
      </c>
      <c r="C23" s="22" t="s">
        <v>62</v>
      </c>
      <c r="D23" s="22" t="s">
        <v>63</v>
      </c>
      <c r="E23" s="91" t="s">
        <v>67</v>
      </c>
      <c r="F23" s="15">
        <v>9.68</v>
      </c>
      <c r="G23" s="15">
        <f>66*0.5+229.7*0.25</f>
        <v>90.424999999999997</v>
      </c>
      <c r="H23" s="15">
        <f>0.08*0.5+6.7*0.25</f>
        <v>1.7150000000000001</v>
      </c>
      <c r="I23" s="15">
        <f>7.25*0.5+1.1*0.25</f>
        <v>3.9</v>
      </c>
      <c r="J23" s="16">
        <f>0.13*0.5+48.3*0.25</f>
        <v>12.139999999999999</v>
      </c>
      <c r="K23"/>
    </row>
    <row r="24" spans="1:11" s="41" customFormat="1" x14ac:dyDescent="0.25">
      <c r="A24" s="52"/>
      <c r="B24" s="8" t="s">
        <v>18</v>
      </c>
      <c r="C24" s="6" t="s">
        <v>19</v>
      </c>
      <c r="D24" s="6" t="s">
        <v>20</v>
      </c>
      <c r="E24" s="17" t="s">
        <v>33</v>
      </c>
      <c r="F24" s="7">
        <v>2.2400000000000002</v>
      </c>
      <c r="G24" s="7">
        <v>60</v>
      </c>
      <c r="H24" s="7">
        <v>7.0000000000000007E-2</v>
      </c>
      <c r="I24" s="7">
        <v>0.02</v>
      </c>
      <c r="J24" s="9">
        <v>15</v>
      </c>
      <c r="K24"/>
    </row>
    <row r="25" spans="1:11" s="36" customFormat="1" ht="15.75" thickBot="1" x14ac:dyDescent="0.3">
      <c r="A25" s="52"/>
      <c r="B25" s="10" t="s">
        <v>39</v>
      </c>
      <c r="C25" s="11" t="s">
        <v>40</v>
      </c>
      <c r="D25" s="11" t="s">
        <v>59</v>
      </c>
      <c r="E25" s="18">
        <v>110</v>
      </c>
      <c r="F25" s="19">
        <v>30.37</v>
      </c>
      <c r="G25" s="45">
        <f>43*1.1</f>
        <v>47.300000000000004</v>
      </c>
      <c r="H25" s="45">
        <f>0.9*1.1</f>
        <v>0.9900000000000001</v>
      </c>
      <c r="I25" s="45">
        <f>0.2*1.1</f>
        <v>0.22000000000000003</v>
      </c>
      <c r="J25" s="82">
        <f>8.1*1.1</f>
        <v>8.91</v>
      </c>
    </row>
    <row r="26" spans="1:11" ht="16.5" thickBot="1" x14ac:dyDescent="0.3">
      <c r="A26" s="53" t="s">
        <v>15</v>
      </c>
      <c r="B26" s="54"/>
      <c r="C26" s="54"/>
      <c r="D26" s="54"/>
      <c r="E26" s="55"/>
      <c r="F26" s="3">
        <f>SUM(F23:F25)</f>
        <v>42.29</v>
      </c>
      <c r="G26" s="3">
        <f>SUM(G23:G25)</f>
        <v>197.72500000000002</v>
      </c>
      <c r="H26" s="3">
        <f>SUM(H23:H25)</f>
        <v>2.7750000000000004</v>
      </c>
      <c r="I26" s="3">
        <f>SUM(I23:I25)</f>
        <v>4.1399999999999997</v>
      </c>
      <c r="J26" s="3">
        <f>SUM(J23:J25)</f>
        <v>36.049999999999997</v>
      </c>
      <c r="K26"/>
    </row>
    <row r="27" spans="1:11" x14ac:dyDescent="0.25">
      <c r="A27" s="51" t="s">
        <v>68</v>
      </c>
      <c r="B27" s="21" t="s">
        <v>13</v>
      </c>
      <c r="C27" s="22" t="s">
        <v>49</v>
      </c>
      <c r="D27" s="22" t="s">
        <v>50</v>
      </c>
      <c r="E27" s="14" t="s">
        <v>51</v>
      </c>
      <c r="F27" s="15">
        <v>41.94</v>
      </c>
      <c r="G27" s="89">
        <f>151.2*0.8</f>
        <v>120.96</v>
      </c>
      <c r="H27" s="89">
        <f>15.6*0.8</f>
        <v>12.48</v>
      </c>
      <c r="I27" s="89">
        <f>8.4*0.8</f>
        <v>6.7200000000000006</v>
      </c>
      <c r="J27" s="90">
        <f>3.3*0.8</f>
        <v>2.64</v>
      </c>
    </row>
    <row r="28" spans="1:11" x14ac:dyDescent="0.25">
      <c r="A28" s="51"/>
      <c r="B28" s="8" t="s">
        <v>17</v>
      </c>
      <c r="C28" s="6" t="s">
        <v>44</v>
      </c>
      <c r="D28" s="6" t="s">
        <v>45</v>
      </c>
      <c r="E28" s="17">
        <v>150</v>
      </c>
      <c r="F28" s="7">
        <v>14.93</v>
      </c>
      <c r="G28" s="7">
        <f>1398*0.15</f>
        <v>209.7</v>
      </c>
      <c r="H28" s="7">
        <f>24.34*0.15</f>
        <v>3.6509999999999998</v>
      </c>
      <c r="I28" s="7">
        <f>35.83*0.15</f>
        <v>5.3744999999999994</v>
      </c>
      <c r="J28" s="9">
        <f>244.56*0.15</f>
        <v>36.683999999999997</v>
      </c>
    </row>
    <row r="29" spans="1:11" ht="30" x14ac:dyDescent="0.25">
      <c r="A29" s="51"/>
      <c r="B29" s="8" t="s">
        <v>52</v>
      </c>
      <c r="C29" s="6" t="s">
        <v>53</v>
      </c>
      <c r="D29" s="6" t="s">
        <v>54</v>
      </c>
      <c r="E29" s="17">
        <v>200</v>
      </c>
      <c r="F29" s="7">
        <v>12.46</v>
      </c>
      <c r="G29" s="7">
        <f>573*0.2</f>
        <v>114.60000000000001</v>
      </c>
      <c r="H29" s="7">
        <f>0.8*0.2</f>
        <v>0.16000000000000003</v>
      </c>
      <c r="I29" s="7">
        <f>0.6*0.2</f>
        <v>0.12</v>
      </c>
      <c r="J29" s="9">
        <f>140.4*0.2</f>
        <v>28.080000000000002</v>
      </c>
    </row>
    <row r="30" spans="1:11" x14ac:dyDescent="0.25">
      <c r="A30" s="51"/>
      <c r="B30" s="8" t="s">
        <v>21</v>
      </c>
      <c r="C30" s="6" t="s">
        <v>57</v>
      </c>
      <c r="D30" s="6" t="s">
        <v>58</v>
      </c>
      <c r="E30" s="17">
        <v>50</v>
      </c>
      <c r="F30" s="7">
        <v>7.15</v>
      </c>
      <c r="G30" s="7">
        <v>198.6</v>
      </c>
      <c r="H30" s="80">
        <v>4.0999999999999996</v>
      </c>
      <c r="I30" s="80">
        <v>7.7</v>
      </c>
      <c r="J30" s="81">
        <v>28.2</v>
      </c>
    </row>
    <row r="31" spans="1:11" ht="15.75" thickBot="1" x14ac:dyDescent="0.3">
      <c r="A31" s="51"/>
      <c r="B31" s="10" t="s">
        <v>14</v>
      </c>
      <c r="C31" s="11" t="s">
        <v>31</v>
      </c>
      <c r="D31" s="11" t="s">
        <v>32</v>
      </c>
      <c r="E31" s="18">
        <v>13.5</v>
      </c>
      <c r="F31" s="19">
        <v>0.52</v>
      </c>
      <c r="G31" s="19">
        <f>229.7*0.135</f>
        <v>31.009499999999999</v>
      </c>
      <c r="H31" s="12">
        <f>6.7*0.135</f>
        <v>0.90450000000000008</v>
      </c>
      <c r="I31" s="12">
        <f>1.1*0.135</f>
        <v>0.14850000000000002</v>
      </c>
      <c r="J31" s="13">
        <f>48.3*0.135</f>
        <v>6.5205000000000002</v>
      </c>
    </row>
    <row r="32" spans="1:11" ht="16.5" thickBot="1" x14ac:dyDescent="0.3">
      <c r="A32" s="78" t="s">
        <v>15</v>
      </c>
      <c r="B32" s="70"/>
      <c r="C32" s="70"/>
      <c r="D32" s="70"/>
      <c r="E32" s="74"/>
      <c r="F32" s="20">
        <f>SUM(F27:F31)</f>
        <v>77</v>
      </c>
      <c r="G32" s="20">
        <f>SUM(G27:G31)</f>
        <v>674.86950000000002</v>
      </c>
      <c r="H32" s="20">
        <f>SUM(H27:H31)</f>
        <v>21.295499999999997</v>
      </c>
      <c r="I32" s="20">
        <f>SUM(I27:I31)</f>
        <v>20.062999999999999</v>
      </c>
      <c r="J32" s="20">
        <f>SUM(J27:J31)</f>
        <v>102.1245</v>
      </c>
    </row>
    <row r="33" spans="1:10" ht="30" x14ac:dyDescent="0.25">
      <c r="A33" s="56" t="s">
        <v>34</v>
      </c>
      <c r="B33" s="47" t="s">
        <v>30</v>
      </c>
      <c r="C33" s="42" t="s">
        <v>46</v>
      </c>
      <c r="D33" s="42" t="s">
        <v>47</v>
      </c>
      <c r="E33" s="14">
        <v>15</v>
      </c>
      <c r="F33" s="15">
        <v>8.8800000000000008</v>
      </c>
      <c r="G33" s="15">
        <f>736*0.015</f>
        <v>11.04</v>
      </c>
      <c r="H33" s="15">
        <f>20.55*0.015</f>
        <v>0.30825000000000002</v>
      </c>
      <c r="I33" s="15">
        <f>29.1*0.015</f>
        <v>0.4365</v>
      </c>
      <c r="J33" s="16">
        <f>97.89*0.015</f>
        <v>1.46835</v>
      </c>
    </row>
    <row r="34" spans="1:10" x14ac:dyDescent="0.25">
      <c r="A34" s="57"/>
      <c r="B34" s="8" t="s">
        <v>17</v>
      </c>
      <c r="C34" s="6" t="s">
        <v>44</v>
      </c>
      <c r="D34" s="6" t="s">
        <v>45</v>
      </c>
      <c r="E34" s="17">
        <v>150</v>
      </c>
      <c r="F34" s="7">
        <v>14.93</v>
      </c>
      <c r="G34" s="7">
        <f>1398*0.15</f>
        <v>209.7</v>
      </c>
      <c r="H34" s="7">
        <f>24.34*0.15</f>
        <v>3.6509999999999998</v>
      </c>
      <c r="I34" s="7">
        <f>35.83*0.15</f>
        <v>5.3744999999999994</v>
      </c>
      <c r="J34" s="9">
        <f>244.56*0.15</f>
        <v>36.683999999999997</v>
      </c>
    </row>
    <row r="35" spans="1:10" x14ac:dyDescent="0.25">
      <c r="A35" s="57"/>
      <c r="B35" s="8" t="s">
        <v>18</v>
      </c>
      <c r="C35" s="6" t="s">
        <v>19</v>
      </c>
      <c r="D35" s="6" t="s">
        <v>20</v>
      </c>
      <c r="E35" s="17" t="s">
        <v>33</v>
      </c>
      <c r="F35" s="7">
        <v>2.2400000000000002</v>
      </c>
      <c r="G35" s="7">
        <v>60</v>
      </c>
      <c r="H35" s="7">
        <v>7.0000000000000007E-2</v>
      </c>
      <c r="I35" s="7">
        <v>0.02</v>
      </c>
      <c r="J35" s="9">
        <v>15</v>
      </c>
    </row>
    <row r="36" spans="1:10" ht="15.75" thickBot="1" x14ac:dyDescent="0.3">
      <c r="A36" s="72"/>
      <c r="B36" s="10" t="s">
        <v>14</v>
      </c>
      <c r="C36" s="11" t="s">
        <v>31</v>
      </c>
      <c r="D36" s="11" t="s">
        <v>32</v>
      </c>
      <c r="E36" s="18">
        <v>24.5</v>
      </c>
      <c r="F36" s="19">
        <v>0.95</v>
      </c>
      <c r="G36" s="19">
        <f>229.7*0.245</f>
        <v>56.276499999999999</v>
      </c>
      <c r="H36" s="12">
        <f>6.7*0.245</f>
        <v>1.6415</v>
      </c>
      <c r="I36" s="12">
        <f>1.1*0.245</f>
        <v>0.26950000000000002</v>
      </c>
      <c r="J36" s="13">
        <f>48.3*0.245</f>
        <v>11.833499999999999</v>
      </c>
    </row>
    <row r="37" spans="1:10" ht="16.5" thickBot="1" x14ac:dyDescent="0.3">
      <c r="A37" s="73" t="s">
        <v>15</v>
      </c>
      <c r="B37" s="70"/>
      <c r="C37" s="70"/>
      <c r="D37" s="70"/>
      <c r="E37" s="74"/>
      <c r="F37" s="20">
        <f>SUM(F33:F36)</f>
        <v>27.000000000000004</v>
      </c>
      <c r="G37" s="20">
        <f>SUM(G33:G36)</f>
        <v>337.01650000000001</v>
      </c>
      <c r="H37" s="20">
        <f>SUM(H33:H36)</f>
        <v>5.67075</v>
      </c>
      <c r="I37" s="20">
        <f>SUM(I33:I36)</f>
        <v>6.1004999999999985</v>
      </c>
      <c r="J37" s="20">
        <f>SUM(J33:J36)</f>
        <v>64.985849999999999</v>
      </c>
    </row>
    <row r="38" spans="1:10" x14ac:dyDescent="0.25">
      <c r="A38" s="75" t="s">
        <v>35</v>
      </c>
      <c r="B38" s="21" t="s">
        <v>18</v>
      </c>
      <c r="C38" s="22" t="s">
        <v>19</v>
      </c>
      <c r="D38" s="22" t="s">
        <v>20</v>
      </c>
      <c r="E38" s="14" t="s">
        <v>33</v>
      </c>
      <c r="F38" s="15">
        <v>2.2599999999999998</v>
      </c>
      <c r="G38" s="15">
        <v>60</v>
      </c>
      <c r="H38" s="15">
        <v>7.0000000000000007E-2</v>
      </c>
      <c r="I38" s="15">
        <v>0.02</v>
      </c>
      <c r="J38" s="16">
        <v>15</v>
      </c>
    </row>
    <row r="39" spans="1:10" ht="30.75" thickBot="1" x14ac:dyDescent="0.3">
      <c r="A39" s="76"/>
      <c r="B39" s="10" t="s">
        <v>42</v>
      </c>
      <c r="C39" s="11" t="s">
        <v>43</v>
      </c>
      <c r="D39" s="11" t="s">
        <v>48</v>
      </c>
      <c r="E39" s="18">
        <v>21</v>
      </c>
      <c r="F39" s="19">
        <v>4.74</v>
      </c>
      <c r="G39" s="19">
        <f>420*0.21</f>
        <v>88.2</v>
      </c>
      <c r="H39" s="19">
        <f>6.9*0.21</f>
        <v>1.4490000000000001</v>
      </c>
      <c r="I39" s="19">
        <f>14.7*0.21</f>
        <v>3.0869999999999997</v>
      </c>
      <c r="J39" s="31">
        <f>65*0.21</f>
        <v>13.65</v>
      </c>
    </row>
    <row r="40" spans="1:10" ht="16.5" thickBot="1" x14ac:dyDescent="0.3">
      <c r="A40" s="77" t="s">
        <v>15</v>
      </c>
      <c r="B40" s="70"/>
      <c r="C40" s="70"/>
      <c r="D40" s="70"/>
      <c r="E40" s="74"/>
      <c r="F40" s="20">
        <f>SUM(F38:F39)</f>
        <v>7</v>
      </c>
      <c r="G40" s="20">
        <f>SUM(G38:G39)</f>
        <v>148.19999999999999</v>
      </c>
      <c r="H40" s="20">
        <f t="shared" ref="H40:J40" si="2">SUM(H38:H39)</f>
        <v>1.5190000000000001</v>
      </c>
      <c r="I40" s="20">
        <f t="shared" si="2"/>
        <v>3.1069999999999998</v>
      </c>
      <c r="J40" s="20">
        <f t="shared" si="2"/>
        <v>28.65</v>
      </c>
    </row>
    <row r="41" spans="1:10" x14ac:dyDescent="0.25">
      <c r="A41" s="79" t="s">
        <v>36</v>
      </c>
      <c r="B41" s="21" t="s">
        <v>16</v>
      </c>
      <c r="C41" s="22" t="s">
        <v>55</v>
      </c>
      <c r="D41" s="22" t="s">
        <v>56</v>
      </c>
      <c r="E41" s="14">
        <v>250</v>
      </c>
      <c r="F41" s="15">
        <v>5.98</v>
      </c>
      <c r="G41" s="15">
        <v>148.25</v>
      </c>
      <c r="H41" s="15">
        <v>5.49</v>
      </c>
      <c r="I41" s="15">
        <v>5.27</v>
      </c>
      <c r="J41" s="16">
        <v>16.54</v>
      </c>
    </row>
    <row r="42" spans="1:10" x14ac:dyDescent="0.25">
      <c r="A42" s="52"/>
      <c r="B42" s="8" t="s">
        <v>13</v>
      </c>
      <c r="C42" s="6" t="s">
        <v>37</v>
      </c>
      <c r="D42" s="6" t="s">
        <v>38</v>
      </c>
      <c r="E42" s="17">
        <v>50</v>
      </c>
      <c r="F42" s="7">
        <v>23.74</v>
      </c>
      <c r="G42" s="24">
        <f>182/50*50</f>
        <v>182</v>
      </c>
      <c r="H42" s="24">
        <f>6.74/50*50</f>
        <v>6.74</v>
      </c>
      <c r="I42" s="24">
        <f>13.91/50*50</f>
        <v>13.91</v>
      </c>
      <c r="J42" s="25">
        <f>7.09/50*50</f>
        <v>7.0900000000000007</v>
      </c>
    </row>
    <row r="43" spans="1:10" x14ac:dyDescent="0.25">
      <c r="A43" s="52"/>
      <c r="B43" s="8" t="s">
        <v>17</v>
      </c>
      <c r="C43" s="6" t="s">
        <v>60</v>
      </c>
      <c r="D43" s="6" t="s">
        <v>61</v>
      </c>
      <c r="E43" s="17">
        <v>120</v>
      </c>
      <c r="F43" s="7">
        <v>12.06</v>
      </c>
      <c r="G43" s="43">
        <f>112.3*1.2</f>
        <v>134.76</v>
      </c>
      <c r="H43" s="43">
        <f>3.68*1.2</f>
        <v>4.4160000000000004</v>
      </c>
      <c r="I43" s="43">
        <f>3.01*1.2</f>
        <v>3.6119999999999997</v>
      </c>
      <c r="J43" s="44">
        <f>17.63*1.2</f>
        <v>21.155999999999999</v>
      </c>
    </row>
    <row r="44" spans="1:10" x14ac:dyDescent="0.25">
      <c r="A44" s="52"/>
      <c r="B44" s="8" t="s">
        <v>18</v>
      </c>
      <c r="C44" s="6" t="s">
        <v>19</v>
      </c>
      <c r="D44" s="6" t="s">
        <v>20</v>
      </c>
      <c r="E44" s="17" t="s">
        <v>33</v>
      </c>
      <c r="F44" s="7">
        <v>2.2400000000000002</v>
      </c>
      <c r="G44" s="7">
        <v>60</v>
      </c>
      <c r="H44" s="7">
        <v>7.0000000000000007E-2</v>
      </c>
      <c r="I44" s="7">
        <v>0.02</v>
      </c>
      <c r="J44" s="9">
        <v>15</v>
      </c>
    </row>
    <row r="45" spans="1:10" ht="15.75" thickBot="1" x14ac:dyDescent="0.3">
      <c r="A45" s="52"/>
      <c r="B45" s="10" t="s">
        <v>14</v>
      </c>
      <c r="C45" s="11" t="s">
        <v>31</v>
      </c>
      <c r="D45" s="11" t="s">
        <v>32</v>
      </c>
      <c r="E45" s="18">
        <v>25.5</v>
      </c>
      <c r="F45" s="19">
        <v>0.98</v>
      </c>
      <c r="G45" s="19">
        <f>229.7*0.255</f>
        <v>58.573499999999996</v>
      </c>
      <c r="H45" s="12">
        <f>6.7*0.255</f>
        <v>1.7085000000000001</v>
      </c>
      <c r="I45" s="12">
        <f>1.1*0.255</f>
        <v>0.28050000000000003</v>
      </c>
      <c r="J45" s="13">
        <f>48.3*0.255</f>
        <v>12.3165</v>
      </c>
    </row>
    <row r="46" spans="1:10" ht="16.5" thickBot="1" x14ac:dyDescent="0.3">
      <c r="A46" s="66" t="s">
        <v>15</v>
      </c>
      <c r="B46" s="68"/>
      <c r="C46" s="68"/>
      <c r="D46" s="68"/>
      <c r="E46" s="69"/>
      <c r="F46" s="28">
        <f>SUM(F41:F45)</f>
        <v>45</v>
      </c>
      <c r="G46" s="28">
        <f>SUM(G41:G45)</f>
        <v>583.58349999999996</v>
      </c>
      <c r="H46" s="28">
        <f>SUM(H41:H45)</f>
        <v>18.424500000000002</v>
      </c>
      <c r="I46" s="28">
        <f>SUM(I41:I45)</f>
        <v>23.092499999999998</v>
      </c>
      <c r="J46" s="28">
        <f>SUM(J41:J45)</f>
        <v>72.102500000000006</v>
      </c>
    </row>
    <row r="47" spans="1:10" x14ac:dyDescent="0.25">
      <c r="A47" s="52" t="s">
        <v>69</v>
      </c>
      <c r="B47" s="21" t="s">
        <v>16</v>
      </c>
      <c r="C47" s="22" t="s">
        <v>55</v>
      </c>
      <c r="D47" s="22" t="s">
        <v>56</v>
      </c>
      <c r="E47" s="14">
        <v>250</v>
      </c>
      <c r="F47" s="15">
        <v>5.98</v>
      </c>
      <c r="G47" s="15">
        <v>148.25</v>
      </c>
      <c r="H47" s="15">
        <v>5.49</v>
      </c>
      <c r="I47" s="15">
        <v>5.27</v>
      </c>
      <c r="J47" s="16">
        <v>16.54</v>
      </c>
    </row>
    <row r="48" spans="1:10" x14ac:dyDescent="0.25">
      <c r="A48" s="52"/>
      <c r="B48" s="8" t="s">
        <v>13</v>
      </c>
      <c r="C48" s="6" t="s">
        <v>37</v>
      </c>
      <c r="D48" s="6" t="s">
        <v>38</v>
      </c>
      <c r="E48" s="17">
        <v>60</v>
      </c>
      <c r="F48" s="7">
        <v>28.49</v>
      </c>
      <c r="G48" s="24">
        <f>182/50*60</f>
        <v>218.4</v>
      </c>
      <c r="H48" s="24">
        <f>6.74/50*60</f>
        <v>8.088000000000001</v>
      </c>
      <c r="I48" s="24">
        <f>13.91/50*60</f>
        <v>16.692</v>
      </c>
      <c r="J48" s="25">
        <f>7.09/50*60</f>
        <v>8.5080000000000009</v>
      </c>
    </row>
    <row r="49" spans="1:10" x14ac:dyDescent="0.25">
      <c r="A49" s="52"/>
      <c r="B49" s="8" t="s">
        <v>17</v>
      </c>
      <c r="C49" s="6" t="s">
        <v>60</v>
      </c>
      <c r="D49" s="6" t="s">
        <v>61</v>
      </c>
      <c r="E49" s="17">
        <v>120</v>
      </c>
      <c r="F49" s="7">
        <v>12.06</v>
      </c>
      <c r="G49" s="43">
        <f>112.3*1.2</f>
        <v>134.76</v>
      </c>
      <c r="H49" s="43">
        <f>3.68*1.2</f>
        <v>4.4160000000000004</v>
      </c>
      <c r="I49" s="43">
        <f>3.01*1.2</f>
        <v>3.6119999999999997</v>
      </c>
      <c r="J49" s="44">
        <f>17.63*1.2</f>
        <v>21.155999999999999</v>
      </c>
    </row>
    <row r="50" spans="1:10" x14ac:dyDescent="0.25">
      <c r="A50" s="52"/>
      <c r="B50" s="8" t="s">
        <v>18</v>
      </c>
      <c r="C50" s="6" t="s">
        <v>19</v>
      </c>
      <c r="D50" s="6" t="s">
        <v>20</v>
      </c>
      <c r="E50" s="17" t="s">
        <v>33</v>
      </c>
      <c r="F50" s="7">
        <v>2.2400000000000002</v>
      </c>
      <c r="G50" s="7">
        <v>60</v>
      </c>
      <c r="H50" s="7">
        <v>7.0000000000000007E-2</v>
      </c>
      <c r="I50" s="7">
        <v>0.02</v>
      </c>
      <c r="J50" s="9">
        <v>15</v>
      </c>
    </row>
    <row r="51" spans="1:10" x14ac:dyDescent="0.25">
      <c r="A51" s="52"/>
      <c r="B51" s="8" t="s">
        <v>14</v>
      </c>
      <c r="C51" s="6" t="s">
        <v>31</v>
      </c>
      <c r="D51" s="6" t="s">
        <v>32</v>
      </c>
      <c r="E51" s="17">
        <v>14</v>
      </c>
      <c r="F51" s="7">
        <v>0.54</v>
      </c>
      <c r="G51" s="7">
        <f>229.7*0.14</f>
        <v>32.158000000000001</v>
      </c>
      <c r="H51" s="80">
        <f>6.7*0.14</f>
        <v>0.93800000000000017</v>
      </c>
      <c r="I51" s="80">
        <f>1.1*0.14</f>
        <v>0.15400000000000003</v>
      </c>
      <c r="J51" s="81">
        <f>48.3*0.14</f>
        <v>6.7620000000000005</v>
      </c>
    </row>
    <row r="52" spans="1:10" ht="15.75" thickBot="1" x14ac:dyDescent="0.3">
      <c r="A52" s="52"/>
      <c r="B52" s="10" t="s">
        <v>39</v>
      </c>
      <c r="C52" s="11" t="s">
        <v>40</v>
      </c>
      <c r="D52" s="11" t="s">
        <v>59</v>
      </c>
      <c r="E52" s="18">
        <v>100</v>
      </c>
      <c r="F52" s="19">
        <v>27.69</v>
      </c>
      <c r="G52" s="45">
        <f>43*1</f>
        <v>43</v>
      </c>
      <c r="H52" s="45">
        <f>0.9*1</f>
        <v>0.9</v>
      </c>
      <c r="I52" s="45">
        <f>0.2*1</f>
        <v>0.2</v>
      </c>
      <c r="J52" s="82">
        <f>8.1*1</f>
        <v>8.1</v>
      </c>
    </row>
    <row r="53" spans="1:10" ht="16.5" thickBot="1" x14ac:dyDescent="0.3">
      <c r="A53" s="66" t="s">
        <v>15</v>
      </c>
      <c r="B53" s="83"/>
      <c r="C53" s="83"/>
      <c r="D53" s="83"/>
      <c r="E53" s="93"/>
      <c r="F53" s="87">
        <f>SUM(F47:F52)</f>
        <v>77</v>
      </c>
      <c r="G53" s="87">
        <f>SUM(G47:G52)</f>
        <v>636.56799999999998</v>
      </c>
      <c r="H53" s="87">
        <f>SUM(H47:H52)</f>
        <v>19.901999999999997</v>
      </c>
      <c r="I53" s="87">
        <f>SUM(I47:I52)</f>
        <v>25.947999999999997</v>
      </c>
      <c r="J53" s="87">
        <f>SUM(J47:J52)</f>
        <v>76.066000000000003</v>
      </c>
    </row>
    <row r="55" spans="1:10" ht="15.75" thickBot="1" x14ac:dyDescent="0.3">
      <c r="A55" s="64" t="s">
        <v>25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23"/>
      <c r="B56" s="23"/>
      <c r="C56" s="63" t="s">
        <v>23</v>
      </c>
      <c r="D56" s="63"/>
      <c r="G56" s="65"/>
      <c r="H56" s="65"/>
      <c r="I56" s="65"/>
      <c r="J56" s="65"/>
    </row>
    <row r="57" spans="1:10" x14ac:dyDescent="0.25">
      <c r="A57" s="1"/>
      <c r="B57" s="1"/>
      <c r="C57" s="1"/>
      <c r="D57" s="1"/>
    </row>
    <row r="58" spans="1:10" x14ac:dyDescent="0.25">
      <c r="A58" s="50" t="s">
        <v>24</v>
      </c>
      <c r="B58" s="50"/>
    </row>
    <row r="59" spans="1:10" x14ac:dyDescent="0.25">
      <c r="A59" s="50" t="s">
        <v>26</v>
      </c>
      <c r="B59" s="50"/>
    </row>
    <row r="60" spans="1:10" x14ac:dyDescent="0.25">
      <c r="A60" s="4"/>
    </row>
  </sheetData>
  <mergeCells count="25">
    <mergeCell ref="B1:C1"/>
    <mergeCell ref="G1:J1"/>
    <mergeCell ref="C56:D56"/>
    <mergeCell ref="A55:J55"/>
    <mergeCell ref="G56:J56"/>
    <mergeCell ref="A9:E9"/>
    <mergeCell ref="A10:A14"/>
    <mergeCell ref="A15:E15"/>
    <mergeCell ref="A22:E22"/>
    <mergeCell ref="A27:A31"/>
    <mergeCell ref="A32:E32"/>
    <mergeCell ref="A33:A36"/>
    <mergeCell ref="A37:E37"/>
    <mergeCell ref="A38:A39"/>
    <mergeCell ref="A40:E40"/>
    <mergeCell ref="A41:A45"/>
    <mergeCell ref="A58:B58"/>
    <mergeCell ref="A59:B59"/>
    <mergeCell ref="A3:A8"/>
    <mergeCell ref="A23:A25"/>
    <mergeCell ref="A26:E26"/>
    <mergeCell ref="A16:A21"/>
    <mergeCell ref="A46:E46"/>
    <mergeCell ref="A47:A52"/>
    <mergeCell ref="A53:E5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2022-11-29T11:17:06Z</dcterms:modified>
</cp:coreProperties>
</file>