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J54" i="1"/>
  <c r="I54" i="1"/>
  <c r="H54" i="1"/>
  <c r="G54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7" i="1"/>
  <c r="I47" i="1"/>
  <c r="H47" i="1"/>
  <c r="G47" i="1"/>
  <c r="J45" i="1"/>
  <c r="I45" i="1"/>
  <c r="H45" i="1"/>
  <c r="G45" i="1"/>
  <c r="J44" i="1"/>
  <c r="I44" i="1"/>
  <c r="H44" i="1"/>
  <c r="G44" i="1"/>
  <c r="J43" i="1"/>
  <c r="I43" i="1"/>
  <c r="H43" i="1"/>
  <c r="G43" i="1"/>
  <c r="J41" i="1"/>
  <c r="I41" i="1"/>
  <c r="H41" i="1"/>
  <c r="G41" i="1"/>
  <c r="J38" i="1" l="1"/>
  <c r="I38" i="1"/>
  <c r="H38" i="1"/>
  <c r="G38" i="1"/>
  <c r="J36" i="1"/>
  <c r="I36" i="1"/>
  <c r="H36" i="1"/>
  <c r="G36" i="1"/>
  <c r="J35" i="1"/>
  <c r="I35" i="1"/>
  <c r="H35" i="1"/>
  <c r="G35" i="1"/>
  <c r="J33" i="1"/>
  <c r="I33" i="1"/>
  <c r="H33" i="1"/>
  <c r="G33" i="1"/>
  <c r="J29" i="1"/>
  <c r="I29" i="1"/>
  <c r="H29" i="1"/>
  <c r="G29" i="1"/>
  <c r="J32" i="1"/>
  <c r="I32" i="1"/>
  <c r="H32" i="1"/>
  <c r="G32" i="1"/>
  <c r="J28" i="1"/>
  <c r="I28" i="1"/>
  <c r="H28" i="1"/>
  <c r="G28" i="1"/>
  <c r="J26" i="1" l="1"/>
  <c r="I26" i="1"/>
  <c r="H26" i="1"/>
  <c r="G26" i="1"/>
  <c r="G24" i="1"/>
  <c r="H24" i="1"/>
  <c r="I24" i="1"/>
  <c r="J24" i="1"/>
  <c r="F24" i="1"/>
  <c r="J21" i="1"/>
  <c r="I21" i="1"/>
  <c r="H21" i="1"/>
  <c r="G21" i="1"/>
  <c r="J23" i="1"/>
  <c r="I23" i="1"/>
  <c r="H23" i="1"/>
  <c r="G23" i="1"/>
  <c r="J22" i="1"/>
  <c r="I22" i="1"/>
  <c r="H22" i="1"/>
  <c r="G22" i="1"/>
  <c r="J14" i="1"/>
  <c r="I14" i="1"/>
  <c r="H14" i="1"/>
  <c r="G14" i="1"/>
  <c r="G9" i="1"/>
  <c r="J8" i="1"/>
  <c r="I8" i="1"/>
  <c r="H8" i="1"/>
  <c r="G8" i="1"/>
  <c r="J7" i="1"/>
  <c r="I7" i="1"/>
  <c r="H7" i="1"/>
  <c r="G7" i="1"/>
  <c r="J3" i="1"/>
  <c r="I3" i="1"/>
  <c r="H3" i="1"/>
  <c r="G3" i="1"/>
  <c r="J4" i="1"/>
  <c r="I4" i="1"/>
  <c r="H4" i="1"/>
  <c r="G4" i="1"/>
  <c r="J5" i="1" l="1"/>
  <c r="I5" i="1"/>
  <c r="H5" i="1"/>
  <c r="G5" i="1"/>
  <c r="J11" i="1" l="1"/>
  <c r="I11" i="1"/>
  <c r="H11" i="1"/>
  <c r="G11" i="1"/>
  <c r="J19" i="1"/>
  <c r="I19" i="1"/>
  <c r="H19" i="1"/>
  <c r="G19" i="1"/>
  <c r="J16" i="1"/>
  <c r="I16" i="1"/>
  <c r="H16" i="1"/>
  <c r="G16" i="1"/>
  <c r="F56" i="1" l="1"/>
  <c r="J56" i="1"/>
  <c r="I56" i="1"/>
  <c r="H56" i="1"/>
  <c r="F48" i="1"/>
  <c r="J48" i="1"/>
  <c r="I48" i="1"/>
  <c r="H48" i="1"/>
  <c r="G48" i="1"/>
  <c r="F42" i="1"/>
  <c r="J42" i="1"/>
  <c r="I42" i="1"/>
  <c r="H42" i="1"/>
  <c r="G42" i="1"/>
  <c r="F39" i="1"/>
  <c r="J39" i="1"/>
  <c r="I39" i="1"/>
  <c r="H39" i="1"/>
  <c r="G39" i="1"/>
  <c r="F34" i="1"/>
  <c r="J31" i="1"/>
  <c r="I31" i="1"/>
  <c r="H31" i="1"/>
  <c r="G31" i="1"/>
  <c r="J34" i="1"/>
  <c r="H34" i="1"/>
  <c r="G34" i="1"/>
  <c r="I34" i="1" l="1"/>
  <c r="G56" i="1"/>
  <c r="J9" i="1" l="1"/>
  <c r="I9" i="1"/>
  <c r="H9" i="1"/>
  <c r="J12" i="1" l="1"/>
  <c r="I12" i="1"/>
  <c r="H12" i="1"/>
  <c r="G12" i="1"/>
  <c r="J18" i="1"/>
  <c r="I18" i="1"/>
  <c r="H18" i="1"/>
  <c r="G18" i="1"/>
  <c r="J17" i="1"/>
  <c r="I17" i="1"/>
  <c r="H17" i="1"/>
  <c r="G17" i="1"/>
  <c r="J10" i="1"/>
  <c r="I10" i="1"/>
  <c r="H10" i="1"/>
  <c r="G10" i="1"/>
  <c r="F9" i="1" l="1"/>
  <c r="F15" i="1" l="1"/>
  <c r="G27" i="1" l="1"/>
  <c r="H27" i="1"/>
  <c r="I27" i="1"/>
  <c r="J27" i="1"/>
  <c r="F27" i="1"/>
  <c r="J15" i="1" l="1"/>
  <c r="H15" i="1"/>
  <c r="G15" i="1"/>
  <c r="I15" i="1" l="1"/>
</calcChain>
</file>

<file path=xl/sharedStrings.xml><?xml version="1.0" encoding="utf-8"?>
<sst xmlns="http://schemas.openxmlformats.org/spreadsheetml/2006/main" count="188" uniqueCount="70">
  <si>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</si>
  <si>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</si>
  <si>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</si>
  <si>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</si>
  <si>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</si>
  <si>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</si>
  <si>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</si>
  <si>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</si>
  <si>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</si>
  <si>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</si>
  <si>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</si>
  <si>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</si>
  <si>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</si>
  <si>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</si>
  <si>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</si>
  <si>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</si>
  <si>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</si>
  <si>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</si>
  <si>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</si>
  <si>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</si>
  <si>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</si>
  <si>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</si>
  <si>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</si>
  <si>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</si>
  <si>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</si>
  <si>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</si>
  <si>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</si>
  <si>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</si>
  <si>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</si>
  <si>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</si>
  <si>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</si>
  <si>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</si>
  <si>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</si>
  <si>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</si>
  <si>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</si>
  <si>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</si>
  <si>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</si>
  <si>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№71-2015г.</t>
  </si>
  <si>
    <t>Фрукт</t>
  </si>
  <si>
    <t>№338-2015г.</t>
  </si>
  <si>
    <t>Завтрак 1-4 кл и дети-инвалиды 1 смена</t>
  </si>
  <si>
    <t>№295-2015г.</t>
  </si>
  <si>
    <t>Котлета рубленая из бройлер-цыплят</t>
  </si>
  <si>
    <t>ПР</t>
  </si>
  <si>
    <t>№260-2015г.</t>
  </si>
  <si>
    <t>№304-2015г.</t>
  </si>
  <si>
    <t>Рис отварной</t>
  </si>
  <si>
    <t>Овощи натуральные свежие (помидоры)</t>
  </si>
  <si>
    <t>Апельсин свежий (порция)</t>
  </si>
  <si>
    <t>Гуляш из свинины</t>
  </si>
  <si>
    <t>40/40</t>
  </si>
  <si>
    <t>Напиток</t>
  </si>
  <si>
    <t>Молочный коктейль "Авишка" 2,5 %</t>
  </si>
  <si>
    <t>№96-2015г.</t>
  </si>
  <si>
    <t>Кондитерское изделие</t>
  </si>
  <si>
    <t>Фрукт свежий (яблоко)</t>
  </si>
  <si>
    <t>Пряник шоколадный</t>
  </si>
  <si>
    <t>Рассольник ленинградский со сметаной</t>
  </si>
  <si>
    <t>250/10</t>
  </si>
  <si>
    <t>17/17</t>
  </si>
  <si>
    <t>№321-2015г.</t>
  </si>
  <si>
    <t>Капуста тушёная свежая</t>
  </si>
  <si>
    <t>№45-2015г.</t>
  </si>
  <si>
    <t>Бутерброд с сыром</t>
  </si>
  <si>
    <t>20/3/25</t>
  </si>
  <si>
    <t>ТТК №3</t>
  </si>
  <si>
    <t>Булочка "Фигурная"</t>
  </si>
  <si>
    <t>Завтрак 5-11 кл с доплатой 70,00 руб. и льготники с доплатой 50,00 руб.; ДМГ 77,00 1 смена</t>
  </si>
  <si>
    <t>Обед 6-7 кл. 2-я смена с доплатой 70,00 руб. и льготники с доплатой 50,00; ДМГ 77,00 2-я смена</t>
  </si>
  <si>
    <t>Печенье "Курабье"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</si>
</sst>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/>
    <xf numFmtId="2" fontId="8" fillId="0" borderId="2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2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2" fontId="7" fillId="0" borderId="14" xfId="0" applyNumberFormat="1" applyFont="1" applyBorder="1" applyAlignment="1">
      <alignment vertical="center" wrapText="1"/>
    </xf>
    <xf numFmtId="2" fontId="7" fillId="0" borderId="1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2" fontId="8" fillId="0" borderId="7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12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0" xfId="0" applyFont="1"/>
    <xf numFmtId="2" fontId="8" fillId="0" borderId="25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/>
    <xf numFmtId="2" fontId="11" fillId="0" borderId="9" xfId="0" applyNumberFormat="1" applyFont="1" applyBorder="1" applyAlignment="1">
      <alignment horizontal="right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/>
    <xf numFmtId="0" fontId="7" fillId="0" borderId="29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7" fillId="0" borderId="9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7" fillId="0" borderId="0" xfId="0" applyFont="1"/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horizontal="right" vertical="center" wrapText="1"/>
    </xf>
    <xf numFmtId="2" fontId="7" fillId="0" borderId="35" xfId="0" applyNumberFormat="1" applyFont="1" applyBorder="1" applyAlignment="1">
      <alignment horizontal="right" vertical="center" wrapText="1"/>
    </xf>
    <xf numFmtId="2" fontId="11" fillId="0" borderId="35" xfId="0" applyNumberFormat="1" applyFont="1" applyBorder="1" applyAlignment="1">
      <alignment horizontal="right" vertical="center" wrapText="1"/>
    </xf>
    <xf numFmtId="2" fontId="11" fillId="0" borderId="36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11" fillId="0" borderId="9" xfId="2" applyNumberFormat="1" applyFont="1" applyBorder="1" applyAlignment="1">
      <alignment horizontal="right" vertical="center" wrapText="1"/>
    </xf>
    <xf numFmtId="2" fontId="11" fillId="0" borderId="10" xfId="2" applyNumberFormat="1" applyFont="1" applyBorder="1" applyAlignment="1">
      <alignment horizontal="right" vertical="center" wrapText="1"/>
    </xf>
    <xf numFmtId="2" fontId="8" fillId="0" borderId="30" xfId="0" applyNumberFormat="1" applyFont="1" applyBorder="1" applyAlignment="1">
      <alignment vertical="center" wrapText="1"/>
    </xf>
    <xf numFmtId="0" fontId="12" fillId="0" borderId="9" xfId="2" applyFont="1" applyBorder="1" applyAlignment="1">
      <alignment horizontal="left" vertical="center" wrapText="1"/>
    </xf>
    <xf numFmtId="0" fontId="7" fillId="0" borderId="0" xfId="0" applyFont="1"/>
    <xf numFmtId="2" fontId="8" fillId="0" borderId="39" xfId="0" applyNumberFormat="1" applyFont="1" applyBorder="1" applyAlignment="1">
      <alignment vertical="center" wrapText="1"/>
    </xf>
    <xf numFmtId="0" fontId="7" fillId="0" borderId="0" xfId="0" applyFont="1"/>
    <xf numFmtId="0" fontId="7" fillId="0" borderId="2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right" vertical="center" wrapText="1"/>
    </xf>
    <xf numFmtId="0" fontId="7" fillId="0" borderId="0" xfId="0" applyFont="1"/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right" vertical="center" wrapText="1"/>
    </xf>
    <xf numFmtId="0" fontId="12" fillId="0" borderId="4" xfId="2" applyFont="1" applyBorder="1" applyAlignment="1">
      <alignment horizontal="left" vertical="center" wrapText="1"/>
    </xf>
    <xf numFmtId="2" fontId="11" fillId="0" borderId="4" xfId="2" applyNumberFormat="1" applyFont="1" applyBorder="1" applyAlignment="1">
      <alignment horizontal="right" vertical="center" wrapText="1"/>
    </xf>
    <xf numFmtId="2" fontId="11" fillId="0" borderId="12" xfId="2" applyNumberFormat="1" applyFont="1" applyBorder="1" applyAlignment="1">
      <alignment horizontal="righ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8"/>
    <cellStyle name="Обычный 2 3" xfId="3"/>
    <cellStyle name="Обычный 2 4" xfId="4"/>
    <cellStyle name="Обычный 2 4 2" xfId="7"/>
    <cellStyle name="Обычный 2 4 3" xfId="9"/>
    <cellStyle name="Обычный 2 5" xfId="5"/>
    <cellStyle name="Обычный 2 6" xfId="6"/>
    <cellStyle name="Обычный 2 6 2" xfId="10"/>
    <cellStyle name="Обычный 2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B49" sqref="B49:J55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6" t="s">
        <v>22</v>
      </c>
      <c r="C1" s="87"/>
      <c r="D1" s="1" t="s">
        <v>1</v>
      </c>
      <c r="E1" s="25"/>
      <c r="F1" s="1" t="s">
        <v>2</v>
      </c>
      <c r="G1" s="88">
        <v>44896</v>
      </c>
      <c r="H1" s="89"/>
      <c r="I1" s="89"/>
      <c r="J1" s="90"/>
      <c r="K1" s="1"/>
      <c r="L1" s="1"/>
    </row>
    <row r="2" spans="1:12" ht="15.75" thickBot="1" x14ac:dyDescent="0.3">
      <c r="A2" s="32" t="s">
        <v>3</v>
      </c>
      <c r="B2" s="4" t="s">
        <v>4</v>
      </c>
      <c r="C2" s="33" t="s">
        <v>5</v>
      </c>
      <c r="D2" s="37" t="s">
        <v>6</v>
      </c>
      <c r="E2" s="37" t="s">
        <v>7</v>
      </c>
      <c r="F2" s="37" t="s">
        <v>8</v>
      </c>
      <c r="G2" s="4" t="s">
        <v>9</v>
      </c>
      <c r="H2" s="4" t="s">
        <v>10</v>
      </c>
      <c r="I2" s="4" t="s">
        <v>11</v>
      </c>
      <c r="J2" s="34" t="s">
        <v>12</v>
      </c>
    </row>
    <row r="3" spans="1:12" ht="15" customHeight="1" x14ac:dyDescent="0.25">
      <c r="A3" s="99" t="s">
        <v>40</v>
      </c>
      <c r="B3" s="20" t="s">
        <v>30</v>
      </c>
      <c r="C3" s="21" t="s">
        <v>62</v>
      </c>
      <c r="D3" s="21" t="s">
        <v>63</v>
      </c>
      <c r="E3" s="104" t="s">
        <v>64</v>
      </c>
      <c r="F3" s="14">
        <v>27.96</v>
      </c>
      <c r="G3" s="14">
        <f>364*0.2+66*0.3+280*0.25</f>
        <v>162.6</v>
      </c>
      <c r="H3" s="14">
        <f>23.2*0.2+0.08*0.3+8*0.25</f>
        <v>6.6639999999999997</v>
      </c>
      <c r="I3" s="14">
        <f>29.5*0.2+7.25*0.3+3*0.25</f>
        <v>8.8249999999999993</v>
      </c>
      <c r="J3" s="15">
        <f>0+0.13*0.3+54*0.25</f>
        <v>13.539</v>
      </c>
    </row>
    <row r="4" spans="1:12" s="65" customFormat="1" ht="15" customHeight="1" x14ac:dyDescent="0.25">
      <c r="A4" s="100"/>
      <c r="B4" s="7" t="s">
        <v>13</v>
      </c>
      <c r="C4" s="5" t="s">
        <v>41</v>
      </c>
      <c r="D4" s="105" t="s">
        <v>42</v>
      </c>
      <c r="E4" s="16">
        <v>75</v>
      </c>
      <c r="F4" s="6">
        <v>33.909999999999997</v>
      </c>
      <c r="G4" s="23">
        <f>161*1.5</f>
        <v>241.5</v>
      </c>
      <c r="H4" s="106">
        <f>7.61*1.5</f>
        <v>11.415000000000001</v>
      </c>
      <c r="I4" s="106">
        <f>11.1*1.5</f>
        <v>16.649999999999999</v>
      </c>
      <c r="J4" s="107">
        <f>7.66*1.5</f>
        <v>11.49</v>
      </c>
    </row>
    <row r="5" spans="1:12" s="47" customFormat="1" ht="15" customHeight="1" x14ac:dyDescent="0.25">
      <c r="A5" s="100"/>
      <c r="B5" s="7" t="s">
        <v>17</v>
      </c>
      <c r="C5" s="5" t="s">
        <v>60</v>
      </c>
      <c r="D5" s="5" t="s">
        <v>61</v>
      </c>
      <c r="E5" s="16">
        <v>120</v>
      </c>
      <c r="F5" s="6">
        <v>7.8</v>
      </c>
      <c r="G5" s="42">
        <f>751*0.12</f>
        <v>90.11999999999999</v>
      </c>
      <c r="H5" s="42">
        <f>20.65*0.12</f>
        <v>2.4779999999999998</v>
      </c>
      <c r="I5" s="42">
        <f>32.37*0.12</f>
        <v>3.8843999999999994</v>
      </c>
      <c r="J5" s="43">
        <f>94.27*0.12</f>
        <v>11.312399999999998</v>
      </c>
    </row>
    <row r="6" spans="1:12" s="45" customFormat="1" x14ac:dyDescent="0.25">
      <c r="A6" s="100"/>
      <c r="B6" s="7" t="s">
        <v>18</v>
      </c>
      <c r="C6" s="5" t="s">
        <v>19</v>
      </c>
      <c r="D6" s="5" t="s">
        <v>20</v>
      </c>
      <c r="E6" s="16" t="s">
        <v>33</v>
      </c>
      <c r="F6" s="6">
        <v>2.2400000000000002</v>
      </c>
      <c r="G6" s="6">
        <v>60</v>
      </c>
      <c r="H6" s="6">
        <v>7.0000000000000007E-2</v>
      </c>
      <c r="I6" s="6">
        <v>0.02</v>
      </c>
      <c r="J6" s="8">
        <v>15</v>
      </c>
    </row>
    <row r="7" spans="1:12" s="39" customFormat="1" x14ac:dyDescent="0.25">
      <c r="A7" s="100"/>
      <c r="B7" s="7" t="s">
        <v>14</v>
      </c>
      <c r="C7" s="5" t="s">
        <v>31</v>
      </c>
      <c r="D7" s="5" t="s">
        <v>32</v>
      </c>
      <c r="E7" s="16">
        <v>11.5</v>
      </c>
      <c r="F7" s="6">
        <v>0.44</v>
      </c>
      <c r="G7" s="6">
        <f>229.7*0.115</f>
        <v>26.415500000000002</v>
      </c>
      <c r="H7" s="57">
        <f>6.7*0.115</f>
        <v>0.77050000000000007</v>
      </c>
      <c r="I7" s="57">
        <f>1.1*0.115</f>
        <v>0.12650000000000003</v>
      </c>
      <c r="J7" s="58">
        <f>48.3*0.115</f>
        <v>5.5545</v>
      </c>
    </row>
    <row r="8" spans="1:12" s="48" customFormat="1" ht="15.75" thickBot="1" x14ac:dyDescent="0.3">
      <c r="A8" s="101"/>
      <c r="B8" s="9" t="s">
        <v>38</v>
      </c>
      <c r="C8" s="10" t="s">
        <v>39</v>
      </c>
      <c r="D8" s="10" t="s">
        <v>55</v>
      </c>
      <c r="E8" s="17">
        <v>215</v>
      </c>
      <c r="F8" s="18">
        <v>24.8</v>
      </c>
      <c r="G8" s="18">
        <f>47*2.15</f>
        <v>101.05</v>
      </c>
      <c r="H8" s="11">
        <f>0.4*2.15</f>
        <v>0.86</v>
      </c>
      <c r="I8" s="11">
        <f>0.4*2.15</f>
        <v>0.86</v>
      </c>
      <c r="J8" s="12">
        <f>9.8*2.15</f>
        <v>21.07</v>
      </c>
      <c r="K8"/>
    </row>
    <row r="9" spans="1:12" ht="16.5" thickBot="1" x14ac:dyDescent="0.3">
      <c r="A9" s="91" t="s">
        <v>15</v>
      </c>
      <c r="B9" s="92"/>
      <c r="C9" s="92"/>
      <c r="D9" s="92"/>
      <c r="E9" s="93"/>
      <c r="F9" s="61">
        <f>SUM(F3:F8)</f>
        <v>97.149999999999991</v>
      </c>
      <c r="G9" s="61">
        <f>SUM(G3:G8)</f>
        <v>681.68549999999993</v>
      </c>
      <c r="H9" s="61">
        <f>SUM(H3:H8)</f>
        <v>22.2575</v>
      </c>
      <c r="I9" s="61">
        <f>SUM(I3:I8)</f>
        <v>30.365899999999996</v>
      </c>
      <c r="J9" s="61">
        <f>SUM(J3:J8)</f>
        <v>77.965900000000005</v>
      </c>
    </row>
    <row r="10" spans="1:12" x14ac:dyDescent="0.25">
      <c r="A10" s="79" t="s">
        <v>27</v>
      </c>
      <c r="B10" s="20" t="s">
        <v>16</v>
      </c>
      <c r="C10" s="21" t="s">
        <v>53</v>
      </c>
      <c r="D10" s="21" t="s">
        <v>57</v>
      </c>
      <c r="E10" s="13" t="s">
        <v>58</v>
      </c>
      <c r="F10" s="14">
        <v>13.52</v>
      </c>
      <c r="G10" s="14">
        <f>429*0.25+162*0.1</f>
        <v>123.45</v>
      </c>
      <c r="H10" s="14">
        <f>8.07*0.25+2.6*0.1</f>
        <v>2.2774999999999999</v>
      </c>
      <c r="I10" s="14">
        <f>20.36*0.25+15*0.1</f>
        <v>6.59</v>
      </c>
      <c r="J10" s="15">
        <f>47.92*0.25+3.6*0.1</f>
        <v>12.34</v>
      </c>
      <c r="K10"/>
    </row>
    <row r="11" spans="1:12" x14ac:dyDescent="0.25">
      <c r="A11" s="79"/>
      <c r="B11" s="49" t="s">
        <v>13</v>
      </c>
      <c r="C11" s="50" t="s">
        <v>44</v>
      </c>
      <c r="D11" s="50" t="s">
        <v>49</v>
      </c>
      <c r="E11" s="51" t="s">
        <v>59</v>
      </c>
      <c r="F11" s="52">
        <v>15.18</v>
      </c>
      <c r="G11" s="53">
        <f>309*0.34</f>
        <v>105.06</v>
      </c>
      <c r="H11" s="53">
        <f>10.64*0.34</f>
        <v>3.6176000000000004</v>
      </c>
      <c r="I11" s="53">
        <f>28.19*0.34</f>
        <v>9.5846000000000018</v>
      </c>
      <c r="J11" s="54">
        <f>2.89*0.34</f>
        <v>0.98260000000000014</v>
      </c>
      <c r="K11"/>
    </row>
    <row r="12" spans="1:12" s="28" customFormat="1" x14ac:dyDescent="0.25">
      <c r="A12" s="79"/>
      <c r="B12" s="7" t="s">
        <v>17</v>
      </c>
      <c r="C12" s="5" t="s">
        <v>45</v>
      </c>
      <c r="D12" s="5" t="s">
        <v>46</v>
      </c>
      <c r="E12" s="16">
        <v>100</v>
      </c>
      <c r="F12" s="6">
        <v>9.9499999999999993</v>
      </c>
      <c r="G12" s="6">
        <f>1398*0.1</f>
        <v>139.80000000000001</v>
      </c>
      <c r="H12" s="6">
        <f>24.34*0.1</f>
        <v>2.4340000000000002</v>
      </c>
      <c r="I12" s="6">
        <f>35.83*0.1</f>
        <v>3.5830000000000002</v>
      </c>
      <c r="J12" s="8">
        <f>244.56*0.1</f>
        <v>24.456000000000003</v>
      </c>
      <c r="K12"/>
    </row>
    <row r="13" spans="1:12" s="28" customFormat="1" x14ac:dyDescent="0.25">
      <c r="A13" s="79"/>
      <c r="B13" s="7" t="s">
        <v>18</v>
      </c>
      <c r="C13" s="5" t="s">
        <v>19</v>
      </c>
      <c r="D13" s="5" t="s">
        <v>20</v>
      </c>
      <c r="E13" s="16" t="s">
        <v>33</v>
      </c>
      <c r="F13" s="6">
        <v>2.2400000000000002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79"/>
      <c r="B14" s="9" t="s">
        <v>14</v>
      </c>
      <c r="C14" s="10" t="s">
        <v>31</v>
      </c>
      <c r="D14" s="10" t="s">
        <v>32</v>
      </c>
      <c r="E14" s="17">
        <v>36.5</v>
      </c>
      <c r="F14" s="18">
        <v>1.4</v>
      </c>
      <c r="G14" s="18">
        <f>229.7*0.365</f>
        <v>83.840499999999992</v>
      </c>
      <c r="H14" s="11">
        <f>6.7*0.365</f>
        <v>2.4455</v>
      </c>
      <c r="I14" s="11">
        <f>1.1*0.365</f>
        <v>0.40150000000000002</v>
      </c>
      <c r="J14" s="12">
        <f>48.3*0.365</f>
        <v>17.6295</v>
      </c>
    </row>
    <row r="15" spans="1:12" ht="16.5" thickBot="1" x14ac:dyDescent="0.3">
      <c r="A15" s="94" t="s">
        <v>15</v>
      </c>
      <c r="B15" s="95"/>
      <c r="C15" s="95"/>
      <c r="D15" s="95"/>
      <c r="E15" s="96"/>
      <c r="F15" s="27">
        <f>SUM(F10:F14)</f>
        <v>42.29</v>
      </c>
      <c r="G15" s="27">
        <f t="shared" ref="G15:J15" si="0">SUM(G10:G14)</f>
        <v>512.15049999999997</v>
      </c>
      <c r="H15" s="27">
        <f t="shared" si="0"/>
        <v>10.8446</v>
      </c>
      <c r="I15" s="27">
        <f t="shared" si="0"/>
        <v>20.179100000000002</v>
      </c>
      <c r="J15" s="27">
        <f t="shared" si="0"/>
        <v>70.408100000000005</v>
      </c>
    </row>
    <row r="16" spans="1:12" s="38" customFormat="1" ht="15.75" x14ac:dyDescent="0.25">
      <c r="A16" s="66" t="s">
        <v>28</v>
      </c>
      <c r="B16" s="55" t="s">
        <v>30</v>
      </c>
      <c r="C16" s="41" t="s">
        <v>37</v>
      </c>
      <c r="D16" s="41" t="s">
        <v>47</v>
      </c>
      <c r="E16" s="13">
        <v>30</v>
      </c>
      <c r="F16" s="14">
        <v>5.32</v>
      </c>
      <c r="G16" s="14">
        <f>11*0.6</f>
        <v>6.6</v>
      </c>
      <c r="H16" s="14">
        <f>0.55*0.6</f>
        <v>0.33</v>
      </c>
      <c r="I16" s="14">
        <f>0.1*0.6</f>
        <v>0.06</v>
      </c>
      <c r="J16" s="15">
        <f>1.9*0.6</f>
        <v>1.1399999999999999</v>
      </c>
    </row>
    <row r="17" spans="1:11" s="46" customFormat="1" x14ac:dyDescent="0.25">
      <c r="A17" s="67"/>
      <c r="B17" s="7" t="s">
        <v>16</v>
      </c>
      <c r="C17" s="5" t="s">
        <v>53</v>
      </c>
      <c r="D17" s="5" t="s">
        <v>57</v>
      </c>
      <c r="E17" s="16" t="s">
        <v>58</v>
      </c>
      <c r="F17" s="6">
        <v>13.52</v>
      </c>
      <c r="G17" s="6">
        <f>429*0.25+162*0.1</f>
        <v>123.45</v>
      </c>
      <c r="H17" s="6">
        <f>8.07*0.25+2.6*0.1</f>
        <v>2.2774999999999999</v>
      </c>
      <c r="I17" s="6">
        <f>20.36*0.25+15*0.1</f>
        <v>6.59</v>
      </c>
      <c r="J17" s="8">
        <f>47.92*0.25+3.6*0.1</f>
        <v>12.34</v>
      </c>
    </row>
    <row r="18" spans="1:11" s="26" customFormat="1" x14ac:dyDescent="0.25">
      <c r="A18" s="67"/>
      <c r="B18" s="7" t="s">
        <v>13</v>
      </c>
      <c r="C18" s="5" t="s">
        <v>44</v>
      </c>
      <c r="D18" s="5" t="s">
        <v>49</v>
      </c>
      <c r="E18" s="16" t="s">
        <v>50</v>
      </c>
      <c r="F18" s="6">
        <v>35.71</v>
      </c>
      <c r="G18" s="23">
        <f>309*0.8</f>
        <v>247.20000000000002</v>
      </c>
      <c r="H18" s="23">
        <f>10.64*0.8</f>
        <v>8.5120000000000005</v>
      </c>
      <c r="I18" s="23">
        <f>28.19*0.8</f>
        <v>22.552000000000003</v>
      </c>
      <c r="J18" s="24">
        <f>2.89*0.8</f>
        <v>2.3120000000000003</v>
      </c>
      <c r="K18"/>
    </row>
    <row r="19" spans="1:11" s="36" customFormat="1" x14ac:dyDescent="0.25">
      <c r="A19" s="67"/>
      <c r="B19" s="7" t="s">
        <v>17</v>
      </c>
      <c r="C19" s="5" t="s">
        <v>45</v>
      </c>
      <c r="D19" s="5" t="s">
        <v>46</v>
      </c>
      <c r="E19" s="16">
        <v>150</v>
      </c>
      <c r="F19" s="6">
        <v>14.93</v>
      </c>
      <c r="G19" s="6">
        <f>1398*0.15</f>
        <v>209.7</v>
      </c>
      <c r="H19" s="6">
        <f>24.34*0.15</f>
        <v>3.6509999999999998</v>
      </c>
      <c r="I19" s="6">
        <f>35.83*0.15</f>
        <v>5.3744999999999994</v>
      </c>
      <c r="J19" s="8">
        <f>244.56*0.15</f>
        <v>36.683999999999997</v>
      </c>
      <c r="K19"/>
    </row>
    <row r="20" spans="1:11" s="35" customFormat="1" x14ac:dyDescent="0.25">
      <c r="A20" s="67"/>
      <c r="B20" s="7" t="s">
        <v>18</v>
      </c>
      <c r="C20" s="5" t="s">
        <v>19</v>
      </c>
      <c r="D20" s="5" t="s">
        <v>20</v>
      </c>
      <c r="E20" s="16" t="s">
        <v>33</v>
      </c>
      <c r="F20" s="6">
        <v>2.2400000000000002</v>
      </c>
      <c r="G20" s="6">
        <v>60</v>
      </c>
      <c r="H20" s="6">
        <v>7.0000000000000007E-2</v>
      </c>
      <c r="I20" s="6">
        <v>0.02</v>
      </c>
      <c r="J20" s="8">
        <v>15</v>
      </c>
    </row>
    <row r="21" spans="1:11" s="65" customFormat="1" x14ac:dyDescent="0.25">
      <c r="A21" s="67"/>
      <c r="B21" s="7" t="s">
        <v>21</v>
      </c>
      <c r="C21" s="5" t="s">
        <v>65</v>
      </c>
      <c r="D21" s="5" t="s">
        <v>66</v>
      </c>
      <c r="E21" s="16">
        <v>50</v>
      </c>
      <c r="F21" s="6">
        <v>4.68</v>
      </c>
      <c r="G21" s="6">
        <f>161.9</f>
        <v>161.9</v>
      </c>
      <c r="H21" s="6">
        <f>3.2</f>
        <v>3.2</v>
      </c>
      <c r="I21" s="6">
        <f>3.2</f>
        <v>3.2</v>
      </c>
      <c r="J21" s="8">
        <f>29.99</f>
        <v>29.99</v>
      </c>
      <c r="K21"/>
    </row>
    <row r="22" spans="1:11" s="48" customFormat="1" x14ac:dyDescent="0.25">
      <c r="A22" s="67"/>
      <c r="B22" s="7" t="s">
        <v>14</v>
      </c>
      <c r="C22" s="5" t="s">
        <v>31</v>
      </c>
      <c r="D22" s="5" t="s">
        <v>32</v>
      </c>
      <c r="E22" s="16">
        <v>13.5</v>
      </c>
      <c r="F22" s="6">
        <v>0.52</v>
      </c>
      <c r="G22" s="6">
        <f>229.7*0.135</f>
        <v>31.009499999999999</v>
      </c>
      <c r="H22" s="57">
        <f>6.7*0.135</f>
        <v>0.90450000000000008</v>
      </c>
      <c r="I22" s="57">
        <f>1.1*0.135</f>
        <v>0.14850000000000002</v>
      </c>
      <c r="J22" s="58">
        <f>48.3*0.135</f>
        <v>6.5205000000000002</v>
      </c>
    </row>
    <row r="23" spans="1:11" s="35" customFormat="1" ht="15.75" thickBot="1" x14ac:dyDescent="0.3">
      <c r="A23" s="67"/>
      <c r="B23" s="9" t="s">
        <v>38</v>
      </c>
      <c r="C23" s="10" t="s">
        <v>39</v>
      </c>
      <c r="D23" s="10" t="s">
        <v>48</v>
      </c>
      <c r="E23" s="17">
        <v>120</v>
      </c>
      <c r="F23" s="18">
        <v>20.23</v>
      </c>
      <c r="G23" s="44">
        <f>43*1.2</f>
        <v>51.6</v>
      </c>
      <c r="H23" s="44">
        <f>0.9*1.2</f>
        <v>1.08</v>
      </c>
      <c r="I23" s="44">
        <f>0.2*1.2</f>
        <v>0.24</v>
      </c>
      <c r="J23" s="56">
        <f>8.1*1.2</f>
        <v>9.7199999999999989</v>
      </c>
    </row>
    <row r="24" spans="1:11" s="29" customFormat="1" ht="16.5" thickBot="1" x14ac:dyDescent="0.3">
      <c r="A24" s="91" t="s">
        <v>15</v>
      </c>
      <c r="B24" s="72"/>
      <c r="C24" s="72"/>
      <c r="D24" s="72"/>
      <c r="E24" s="102"/>
      <c r="F24" s="19">
        <f>SUM(F16:F23)</f>
        <v>97.149999999999977</v>
      </c>
      <c r="G24" s="19">
        <f t="shared" ref="G24:J24" si="1">SUM(G16:G23)</f>
        <v>891.45950000000005</v>
      </c>
      <c r="H24" s="19">
        <f t="shared" si="1"/>
        <v>20.024999999999999</v>
      </c>
      <c r="I24" s="19">
        <f t="shared" si="1"/>
        <v>38.185000000000009</v>
      </c>
      <c r="J24" s="19">
        <f t="shared" si="1"/>
        <v>113.70649999999999</v>
      </c>
      <c r="K24"/>
    </row>
    <row r="25" spans="1:11" s="35" customFormat="1" x14ac:dyDescent="0.25">
      <c r="A25" s="79" t="s">
        <v>29</v>
      </c>
      <c r="B25" s="20" t="s">
        <v>51</v>
      </c>
      <c r="C25" s="21" t="s">
        <v>43</v>
      </c>
      <c r="D25" s="21" t="s">
        <v>52</v>
      </c>
      <c r="E25" s="13">
        <v>200</v>
      </c>
      <c r="F25" s="14">
        <v>41.02</v>
      </c>
      <c r="G25" s="14">
        <v>160</v>
      </c>
      <c r="H25" s="14">
        <v>6.2</v>
      </c>
      <c r="I25" s="14">
        <v>5</v>
      </c>
      <c r="J25" s="15">
        <v>22</v>
      </c>
      <c r="K25"/>
    </row>
    <row r="26" spans="1:11" s="40" customFormat="1" ht="15.75" thickBot="1" x14ac:dyDescent="0.3">
      <c r="A26" s="79"/>
      <c r="B26" s="9" t="s">
        <v>14</v>
      </c>
      <c r="C26" s="10" t="s">
        <v>31</v>
      </c>
      <c r="D26" s="10" t="s">
        <v>32</v>
      </c>
      <c r="E26" s="17">
        <v>33</v>
      </c>
      <c r="F26" s="18">
        <v>1.27</v>
      </c>
      <c r="G26" s="18">
        <f>229.7*0.33</f>
        <v>75.801000000000002</v>
      </c>
      <c r="H26" s="11">
        <f>6.7*0.33</f>
        <v>2.2110000000000003</v>
      </c>
      <c r="I26" s="11">
        <f>1.1*0.33</f>
        <v>0.36300000000000004</v>
      </c>
      <c r="J26" s="12">
        <f>48.3*0.33</f>
        <v>15.939</v>
      </c>
      <c r="K26"/>
    </row>
    <row r="27" spans="1:11" ht="16.5" thickBot="1" x14ac:dyDescent="0.3">
      <c r="A27" s="80" t="s">
        <v>15</v>
      </c>
      <c r="B27" s="81"/>
      <c r="C27" s="81"/>
      <c r="D27" s="81"/>
      <c r="E27" s="82"/>
      <c r="F27" s="3">
        <f>SUM(F25:F26)</f>
        <v>42.290000000000006</v>
      </c>
      <c r="G27" s="3">
        <f>SUM(G25:G26)</f>
        <v>235.80099999999999</v>
      </c>
      <c r="H27" s="3">
        <f>SUM(H25:H26)</f>
        <v>8.4110000000000014</v>
      </c>
      <c r="I27" s="3">
        <f>SUM(I25:I26)</f>
        <v>5.3630000000000004</v>
      </c>
      <c r="J27" s="3">
        <f>SUM(J25:J26)</f>
        <v>37.939</v>
      </c>
      <c r="K27"/>
    </row>
    <row r="28" spans="1:11" ht="15.75" x14ac:dyDescent="0.25">
      <c r="A28" s="68" t="s">
        <v>67</v>
      </c>
      <c r="B28" s="7" t="s">
        <v>13</v>
      </c>
      <c r="C28" s="5" t="s">
        <v>41</v>
      </c>
      <c r="D28" s="105" t="s">
        <v>42</v>
      </c>
      <c r="E28" s="16">
        <v>75</v>
      </c>
      <c r="F28" s="6">
        <v>33.909999999999997</v>
      </c>
      <c r="G28" s="23">
        <f>161*1.5</f>
        <v>241.5</v>
      </c>
      <c r="H28" s="106">
        <f>7.61*1.5</f>
        <v>11.415000000000001</v>
      </c>
      <c r="I28" s="106">
        <f>11.1*1.5</f>
        <v>16.649999999999999</v>
      </c>
      <c r="J28" s="107">
        <f>7.66*1.5</f>
        <v>11.49</v>
      </c>
    </row>
    <row r="29" spans="1:11" x14ac:dyDescent="0.25">
      <c r="A29" s="69"/>
      <c r="B29" s="7" t="s">
        <v>17</v>
      </c>
      <c r="C29" s="5" t="s">
        <v>60</v>
      </c>
      <c r="D29" s="5" t="s">
        <v>61</v>
      </c>
      <c r="E29" s="16">
        <v>150</v>
      </c>
      <c r="F29" s="6">
        <v>9.75</v>
      </c>
      <c r="G29" s="42">
        <f>751*0.15</f>
        <v>112.64999999999999</v>
      </c>
      <c r="H29" s="42">
        <f>20.65*0.15</f>
        <v>3.0974999999999997</v>
      </c>
      <c r="I29" s="42">
        <f>32.37*0.15</f>
        <v>4.8554999999999993</v>
      </c>
      <c r="J29" s="43">
        <f>94.27*0.15</f>
        <v>14.140499999999999</v>
      </c>
    </row>
    <row r="30" spans="1:11" x14ac:dyDescent="0.25">
      <c r="A30" s="69"/>
      <c r="B30" s="7" t="s">
        <v>18</v>
      </c>
      <c r="C30" s="5" t="s">
        <v>19</v>
      </c>
      <c r="D30" s="5" t="s">
        <v>20</v>
      </c>
      <c r="E30" s="16" t="s">
        <v>33</v>
      </c>
      <c r="F30" s="6">
        <v>2.2400000000000002</v>
      </c>
      <c r="G30" s="6">
        <v>60</v>
      </c>
      <c r="H30" s="6">
        <v>7.0000000000000007E-2</v>
      </c>
      <c r="I30" s="6">
        <v>0.02</v>
      </c>
      <c r="J30" s="8">
        <v>15</v>
      </c>
    </row>
    <row r="31" spans="1:11" x14ac:dyDescent="0.25">
      <c r="A31" s="69"/>
      <c r="B31" s="7" t="s">
        <v>54</v>
      </c>
      <c r="C31" s="5" t="s">
        <v>43</v>
      </c>
      <c r="D31" s="5" t="s">
        <v>56</v>
      </c>
      <c r="E31" s="16">
        <v>35</v>
      </c>
      <c r="F31" s="6">
        <v>8.2899999999999991</v>
      </c>
      <c r="G31" s="6">
        <f>350*0.35</f>
        <v>122.49999999999999</v>
      </c>
      <c r="H31" s="6">
        <f>5*0.35</f>
        <v>1.75</v>
      </c>
      <c r="I31" s="6">
        <f>6*0.35</f>
        <v>2.0999999999999996</v>
      </c>
      <c r="J31" s="8">
        <f>69*0.35</f>
        <v>24.15</v>
      </c>
    </row>
    <row r="32" spans="1:11" x14ac:dyDescent="0.25">
      <c r="A32" s="69"/>
      <c r="B32" s="7" t="s">
        <v>14</v>
      </c>
      <c r="C32" s="5" t="s">
        <v>31</v>
      </c>
      <c r="D32" s="5" t="s">
        <v>32</v>
      </c>
      <c r="E32" s="16">
        <v>11.5</v>
      </c>
      <c r="F32" s="6">
        <v>0.89</v>
      </c>
      <c r="G32" s="6">
        <f>229.7*0.115</f>
        <v>26.415500000000002</v>
      </c>
      <c r="H32" s="57">
        <f>6.7*0.115</f>
        <v>0.77050000000000007</v>
      </c>
      <c r="I32" s="57">
        <f>1.1*0.115</f>
        <v>0.12650000000000003</v>
      </c>
      <c r="J32" s="58">
        <f>48.3*0.115</f>
        <v>5.5545</v>
      </c>
    </row>
    <row r="33" spans="1:10" ht="15.75" thickBot="1" x14ac:dyDescent="0.3">
      <c r="A33" s="70"/>
      <c r="B33" s="9" t="s">
        <v>38</v>
      </c>
      <c r="C33" s="10" t="s">
        <v>39</v>
      </c>
      <c r="D33" s="10" t="s">
        <v>48</v>
      </c>
      <c r="E33" s="17">
        <v>130</v>
      </c>
      <c r="F33" s="18">
        <v>21.92</v>
      </c>
      <c r="G33" s="44">
        <f>43*1.3</f>
        <v>55.9</v>
      </c>
      <c r="H33" s="44">
        <f>0.9*1.3</f>
        <v>1.1700000000000002</v>
      </c>
      <c r="I33" s="44">
        <f>0.2*1.3</f>
        <v>0.26</v>
      </c>
      <c r="J33" s="56">
        <f>8.1*1.3</f>
        <v>10.53</v>
      </c>
    </row>
    <row r="34" spans="1:10" ht="16.5" thickBot="1" x14ac:dyDescent="0.3">
      <c r="A34" s="71" t="s">
        <v>15</v>
      </c>
      <c r="B34" s="72"/>
      <c r="C34" s="72"/>
      <c r="D34" s="72"/>
      <c r="E34" s="73"/>
      <c r="F34" s="19">
        <f>SUM(F28:F33)</f>
        <v>77</v>
      </c>
      <c r="G34" s="19">
        <f t="shared" ref="G34:J34" si="2">SUM(G28:G33)</f>
        <v>618.96549999999991</v>
      </c>
      <c r="H34" s="19">
        <f t="shared" si="2"/>
        <v>18.273000000000003</v>
      </c>
      <c r="I34" s="19">
        <f t="shared" si="2"/>
        <v>24.011999999999997</v>
      </c>
      <c r="J34" s="19">
        <f t="shared" si="2"/>
        <v>80.864999999999995</v>
      </c>
    </row>
    <row r="35" spans="1:10" ht="15.75" x14ac:dyDescent="0.25">
      <c r="A35" s="75" t="s">
        <v>34</v>
      </c>
      <c r="B35" s="20" t="s">
        <v>13</v>
      </c>
      <c r="C35" s="21" t="s">
        <v>41</v>
      </c>
      <c r="D35" s="62" t="s">
        <v>42</v>
      </c>
      <c r="E35" s="13">
        <v>40</v>
      </c>
      <c r="F35" s="14">
        <v>18.09</v>
      </c>
      <c r="G35" s="30">
        <f>161*0.8</f>
        <v>128.80000000000001</v>
      </c>
      <c r="H35" s="59">
        <f>7.61*0.8</f>
        <v>6.088000000000001</v>
      </c>
      <c r="I35" s="59">
        <f>11.1*0.8</f>
        <v>8.8800000000000008</v>
      </c>
      <c r="J35" s="60">
        <f>7.66*0.8</f>
        <v>6.1280000000000001</v>
      </c>
    </row>
    <row r="36" spans="1:10" x14ac:dyDescent="0.25">
      <c r="A36" s="103"/>
      <c r="B36" s="7" t="s">
        <v>17</v>
      </c>
      <c r="C36" s="5" t="s">
        <v>60</v>
      </c>
      <c r="D36" s="5" t="s">
        <v>61</v>
      </c>
      <c r="E36" s="16">
        <v>100</v>
      </c>
      <c r="F36" s="6">
        <v>6.5</v>
      </c>
      <c r="G36" s="42">
        <f>751*0.1</f>
        <v>75.100000000000009</v>
      </c>
      <c r="H36" s="42">
        <f>20.65*0.1</f>
        <v>2.0649999999999999</v>
      </c>
      <c r="I36" s="42">
        <f>32.37*0.1</f>
        <v>3.2370000000000001</v>
      </c>
      <c r="J36" s="43">
        <f>94.27*0.1</f>
        <v>9.4269999999999996</v>
      </c>
    </row>
    <row r="37" spans="1:10" x14ac:dyDescent="0.25">
      <c r="A37" s="103"/>
      <c r="B37" s="7" t="s">
        <v>18</v>
      </c>
      <c r="C37" s="5" t="s">
        <v>19</v>
      </c>
      <c r="D37" s="5" t="s">
        <v>20</v>
      </c>
      <c r="E37" s="16" t="s">
        <v>33</v>
      </c>
      <c r="F37" s="6">
        <v>2.2400000000000002</v>
      </c>
      <c r="G37" s="6">
        <v>60</v>
      </c>
      <c r="H37" s="6">
        <v>7.0000000000000007E-2</v>
      </c>
      <c r="I37" s="6">
        <v>0.02</v>
      </c>
      <c r="J37" s="8">
        <v>15</v>
      </c>
    </row>
    <row r="38" spans="1:10" ht="15.75" thickBot="1" x14ac:dyDescent="0.3">
      <c r="A38" s="76"/>
      <c r="B38" s="9" t="s">
        <v>14</v>
      </c>
      <c r="C38" s="10" t="s">
        <v>31</v>
      </c>
      <c r="D38" s="10" t="s">
        <v>32</v>
      </c>
      <c r="E38" s="17">
        <v>4.5</v>
      </c>
      <c r="F38" s="18">
        <v>0.17</v>
      </c>
      <c r="G38" s="18">
        <f>229.7*0.045</f>
        <v>10.336499999999999</v>
      </c>
      <c r="H38" s="11">
        <f>6.7*0.045</f>
        <v>0.30149999999999999</v>
      </c>
      <c r="I38" s="11">
        <f>1.1*0.045</f>
        <v>4.9500000000000002E-2</v>
      </c>
      <c r="J38" s="12">
        <f>48.3*0.045</f>
        <v>2.1734999999999998</v>
      </c>
    </row>
    <row r="39" spans="1:10" ht="16.5" thickBot="1" x14ac:dyDescent="0.3">
      <c r="A39" s="74" t="s">
        <v>15</v>
      </c>
      <c r="B39" s="72"/>
      <c r="C39" s="72"/>
      <c r="D39" s="72"/>
      <c r="E39" s="73"/>
      <c r="F39" s="19">
        <f>SUM(F35:F38)</f>
        <v>27</v>
      </c>
      <c r="G39" s="19">
        <f>SUM(G35:G38)</f>
        <v>274.23650000000004</v>
      </c>
      <c r="H39" s="19">
        <f>SUM(H35:H38)</f>
        <v>8.5245000000000015</v>
      </c>
      <c r="I39" s="19">
        <f>SUM(I35:I38)</f>
        <v>12.186500000000001</v>
      </c>
      <c r="J39" s="19">
        <f>SUM(J35:J38)</f>
        <v>32.728499999999997</v>
      </c>
    </row>
    <row r="40" spans="1:10" x14ac:dyDescent="0.25">
      <c r="A40" s="75" t="s">
        <v>35</v>
      </c>
      <c r="B40" s="20" t="s">
        <v>18</v>
      </c>
      <c r="C40" s="21" t="s">
        <v>19</v>
      </c>
      <c r="D40" s="21" t="s">
        <v>20</v>
      </c>
      <c r="E40" s="13" t="s">
        <v>33</v>
      </c>
      <c r="F40" s="14">
        <v>2.2400000000000002</v>
      </c>
      <c r="G40" s="14">
        <v>60</v>
      </c>
      <c r="H40" s="14">
        <v>7.0000000000000007E-2</v>
      </c>
      <c r="I40" s="14">
        <v>0.02</v>
      </c>
      <c r="J40" s="15">
        <v>15</v>
      </c>
    </row>
    <row r="41" spans="1:10" ht="47.25" customHeight="1" thickBot="1" x14ac:dyDescent="0.3">
      <c r="A41" s="76"/>
      <c r="B41" s="9" t="s">
        <v>54</v>
      </c>
      <c r="C41" s="10" t="s">
        <v>43</v>
      </c>
      <c r="D41" s="10" t="s">
        <v>69</v>
      </c>
      <c r="E41" s="17">
        <v>17</v>
      </c>
      <c r="F41" s="18">
        <v>4.76</v>
      </c>
      <c r="G41" s="18">
        <f>83.3/17*17</f>
        <v>83.3</v>
      </c>
      <c r="H41" s="18">
        <f>0.78/17*17</f>
        <v>0.78</v>
      </c>
      <c r="I41" s="18">
        <f>3.96/17*17</f>
        <v>3.96</v>
      </c>
      <c r="J41" s="31">
        <f>11.27/17*17</f>
        <v>11.27</v>
      </c>
    </row>
    <row r="42" spans="1:10" ht="16.5" thickBot="1" x14ac:dyDescent="0.3">
      <c r="A42" s="77" t="s">
        <v>15</v>
      </c>
      <c r="B42" s="72"/>
      <c r="C42" s="72"/>
      <c r="D42" s="72"/>
      <c r="E42" s="73"/>
      <c r="F42" s="19">
        <f>SUM(F40:F41)</f>
        <v>7</v>
      </c>
      <c r="G42" s="19">
        <f>SUM(G40:G41)</f>
        <v>143.30000000000001</v>
      </c>
      <c r="H42" s="19">
        <f t="shared" ref="H42:J42" si="3">SUM(H40:H41)</f>
        <v>0.85000000000000009</v>
      </c>
      <c r="I42" s="19">
        <f t="shared" si="3"/>
        <v>3.98</v>
      </c>
      <c r="J42" s="19">
        <f t="shared" si="3"/>
        <v>26.27</v>
      </c>
    </row>
    <row r="43" spans="1:10" x14ac:dyDescent="0.25">
      <c r="A43" s="78" t="s">
        <v>36</v>
      </c>
      <c r="B43" s="20" t="s">
        <v>16</v>
      </c>
      <c r="C43" s="21" t="s">
        <v>53</v>
      </c>
      <c r="D43" s="21" t="s">
        <v>57</v>
      </c>
      <c r="E43" s="13" t="s">
        <v>58</v>
      </c>
      <c r="F43" s="14">
        <v>13.52</v>
      </c>
      <c r="G43" s="14">
        <f>429*0.25+162*0.1</f>
        <v>123.45</v>
      </c>
      <c r="H43" s="14">
        <f>8.07*0.25+2.6*0.1</f>
        <v>2.2774999999999999</v>
      </c>
      <c r="I43" s="14">
        <f>20.36*0.25+15*0.1</f>
        <v>6.59</v>
      </c>
      <c r="J43" s="15">
        <f>47.92*0.25+3.6*0.1</f>
        <v>12.34</v>
      </c>
    </row>
    <row r="44" spans="1:10" x14ac:dyDescent="0.25">
      <c r="A44" s="79"/>
      <c r="B44" s="49" t="s">
        <v>13</v>
      </c>
      <c r="C44" s="50" t="s">
        <v>44</v>
      </c>
      <c r="D44" s="50" t="s">
        <v>49</v>
      </c>
      <c r="E44" s="51" t="s">
        <v>59</v>
      </c>
      <c r="F44" s="52">
        <v>15.18</v>
      </c>
      <c r="G44" s="53">
        <f>309*0.34</f>
        <v>105.06</v>
      </c>
      <c r="H44" s="53">
        <f>10.64*0.34</f>
        <v>3.6176000000000004</v>
      </c>
      <c r="I44" s="53">
        <f>28.19*0.34</f>
        <v>9.5846000000000018</v>
      </c>
      <c r="J44" s="54">
        <f>2.89*0.34</f>
        <v>0.98260000000000014</v>
      </c>
    </row>
    <row r="45" spans="1:10" x14ac:dyDescent="0.25">
      <c r="A45" s="79"/>
      <c r="B45" s="7" t="s">
        <v>17</v>
      </c>
      <c r="C45" s="5" t="s">
        <v>45</v>
      </c>
      <c r="D45" s="5" t="s">
        <v>46</v>
      </c>
      <c r="E45" s="16">
        <v>130</v>
      </c>
      <c r="F45" s="6">
        <v>12.94</v>
      </c>
      <c r="G45" s="6">
        <f>1398*0.13</f>
        <v>181.74</v>
      </c>
      <c r="H45" s="6">
        <f>24.34*0.13</f>
        <v>3.1642000000000001</v>
      </c>
      <c r="I45" s="6">
        <f>35.83*0.13</f>
        <v>4.6578999999999997</v>
      </c>
      <c r="J45" s="8">
        <f>244.56*0.13</f>
        <v>31.7928</v>
      </c>
    </row>
    <row r="46" spans="1:10" x14ac:dyDescent="0.25">
      <c r="A46" s="79"/>
      <c r="B46" s="7" t="s">
        <v>18</v>
      </c>
      <c r="C46" s="5" t="s">
        <v>19</v>
      </c>
      <c r="D46" s="5" t="s">
        <v>20</v>
      </c>
      <c r="E46" s="16" t="s">
        <v>33</v>
      </c>
      <c r="F46" s="6">
        <v>2.2400000000000002</v>
      </c>
      <c r="G46" s="6">
        <v>60</v>
      </c>
      <c r="H46" s="6">
        <v>7.0000000000000007E-2</v>
      </c>
      <c r="I46" s="6">
        <v>0.02</v>
      </c>
      <c r="J46" s="8">
        <v>15</v>
      </c>
    </row>
    <row r="47" spans="1:10" ht="15.75" thickBot="1" x14ac:dyDescent="0.3">
      <c r="A47" s="79"/>
      <c r="B47" s="9" t="s">
        <v>14</v>
      </c>
      <c r="C47" s="10" t="s">
        <v>31</v>
      </c>
      <c r="D47" s="10" t="s">
        <v>32</v>
      </c>
      <c r="E47" s="17">
        <v>29</v>
      </c>
      <c r="F47" s="18">
        <v>1.1200000000000001</v>
      </c>
      <c r="G47" s="18">
        <f>229.7*0.29</f>
        <v>66.612999999999985</v>
      </c>
      <c r="H47" s="11">
        <f>6.7*0.29</f>
        <v>1.9429999999999998</v>
      </c>
      <c r="I47" s="11">
        <f>1.1*0.29</f>
        <v>0.31900000000000001</v>
      </c>
      <c r="J47" s="12">
        <f>48.3*0.29</f>
        <v>14.006999999999998</v>
      </c>
    </row>
    <row r="48" spans="1:10" ht="16.5" thickBot="1" x14ac:dyDescent="0.3">
      <c r="A48" s="91" t="s">
        <v>15</v>
      </c>
      <c r="B48" s="95"/>
      <c r="C48" s="95"/>
      <c r="D48" s="95"/>
      <c r="E48" s="96"/>
      <c r="F48" s="27">
        <f>SUM(F43:F47)</f>
        <v>45</v>
      </c>
      <c r="G48" s="27">
        <f>SUM(G43:G47)</f>
        <v>536.86299999999994</v>
      </c>
      <c r="H48" s="27">
        <f>SUM(H43:H47)</f>
        <v>11.0723</v>
      </c>
      <c r="I48" s="27">
        <f>SUM(I43:I47)</f>
        <v>21.171500000000002</v>
      </c>
      <c r="J48" s="27">
        <f>SUM(J43:J47)</f>
        <v>74.122399999999999</v>
      </c>
    </row>
    <row r="49" spans="1:10" ht="15.75" x14ac:dyDescent="0.25">
      <c r="A49" s="79" t="s">
        <v>68</v>
      </c>
      <c r="B49" s="55" t="s">
        <v>30</v>
      </c>
      <c r="C49" s="41" t="s">
        <v>37</v>
      </c>
      <c r="D49" s="41" t="s">
        <v>47</v>
      </c>
      <c r="E49" s="13">
        <v>30</v>
      </c>
      <c r="F49" s="14">
        <v>5.32</v>
      </c>
      <c r="G49" s="14">
        <f>11*0.6</f>
        <v>6.6</v>
      </c>
      <c r="H49" s="14">
        <f>0.55*0.6</f>
        <v>0.33</v>
      </c>
      <c r="I49" s="14">
        <f>0.1*0.6</f>
        <v>0.06</v>
      </c>
      <c r="J49" s="15">
        <f>1.9*0.6</f>
        <v>1.1399999999999999</v>
      </c>
    </row>
    <row r="50" spans="1:10" x14ac:dyDescent="0.25">
      <c r="A50" s="79"/>
      <c r="B50" s="7" t="s">
        <v>16</v>
      </c>
      <c r="C50" s="5" t="s">
        <v>53</v>
      </c>
      <c r="D50" s="5" t="s">
        <v>57</v>
      </c>
      <c r="E50" s="16" t="s">
        <v>58</v>
      </c>
      <c r="F50" s="6">
        <v>13.52</v>
      </c>
      <c r="G50" s="6">
        <f>429*0.25+162*0.1</f>
        <v>123.45</v>
      </c>
      <c r="H50" s="6">
        <f>8.07*0.25+2.6*0.1</f>
        <v>2.2774999999999999</v>
      </c>
      <c r="I50" s="6">
        <f>20.36*0.25+15*0.1</f>
        <v>6.59</v>
      </c>
      <c r="J50" s="8">
        <f>47.92*0.25+3.6*0.1</f>
        <v>12.34</v>
      </c>
    </row>
    <row r="51" spans="1:10" x14ac:dyDescent="0.25">
      <c r="A51" s="79"/>
      <c r="B51" s="7" t="s">
        <v>13</v>
      </c>
      <c r="C51" s="5" t="s">
        <v>44</v>
      </c>
      <c r="D51" s="5" t="s">
        <v>49</v>
      </c>
      <c r="E51" s="16" t="s">
        <v>50</v>
      </c>
      <c r="F51" s="6">
        <v>35.71</v>
      </c>
      <c r="G51" s="23">
        <f>309*0.8</f>
        <v>247.20000000000002</v>
      </c>
      <c r="H51" s="23">
        <f>10.64*0.8</f>
        <v>8.5120000000000005</v>
      </c>
      <c r="I51" s="23">
        <f>28.19*0.8</f>
        <v>22.552000000000003</v>
      </c>
      <c r="J51" s="24">
        <f>2.89*0.8</f>
        <v>2.3120000000000003</v>
      </c>
    </row>
    <row r="52" spans="1:10" x14ac:dyDescent="0.25">
      <c r="A52" s="79"/>
      <c r="B52" s="7" t="s">
        <v>17</v>
      </c>
      <c r="C52" s="5" t="s">
        <v>45</v>
      </c>
      <c r="D52" s="5" t="s">
        <v>46</v>
      </c>
      <c r="E52" s="16">
        <v>150</v>
      </c>
      <c r="F52" s="6">
        <v>14.93</v>
      </c>
      <c r="G52" s="6">
        <f>1398*0.15</f>
        <v>209.7</v>
      </c>
      <c r="H52" s="6">
        <f>24.34*0.15</f>
        <v>3.6509999999999998</v>
      </c>
      <c r="I52" s="6">
        <f>35.83*0.15</f>
        <v>5.3744999999999994</v>
      </c>
      <c r="J52" s="8">
        <f>244.56*0.15</f>
        <v>36.683999999999997</v>
      </c>
    </row>
    <row r="53" spans="1:10" x14ac:dyDescent="0.25">
      <c r="A53" s="79"/>
      <c r="B53" s="7" t="s">
        <v>18</v>
      </c>
      <c r="C53" s="5" t="s">
        <v>19</v>
      </c>
      <c r="D53" s="5" t="s">
        <v>20</v>
      </c>
      <c r="E53" s="16" t="s">
        <v>33</v>
      </c>
      <c r="F53" s="6">
        <v>2.2400000000000002</v>
      </c>
      <c r="G53" s="6">
        <v>60</v>
      </c>
      <c r="H53" s="6">
        <v>7.0000000000000007E-2</v>
      </c>
      <c r="I53" s="6">
        <v>0.02</v>
      </c>
      <c r="J53" s="8">
        <v>15</v>
      </c>
    </row>
    <row r="54" spans="1:10" x14ac:dyDescent="0.25">
      <c r="A54" s="79"/>
      <c r="B54" s="7" t="s">
        <v>21</v>
      </c>
      <c r="C54" s="5" t="s">
        <v>65</v>
      </c>
      <c r="D54" s="5" t="s">
        <v>66</v>
      </c>
      <c r="E54" s="16">
        <v>50</v>
      </c>
      <c r="F54" s="6">
        <v>4.68</v>
      </c>
      <c r="G54" s="6">
        <f>161.9</f>
        <v>161.9</v>
      </c>
      <c r="H54" s="6">
        <f>3.2</f>
        <v>3.2</v>
      </c>
      <c r="I54" s="6">
        <f>3.2</f>
        <v>3.2</v>
      </c>
      <c r="J54" s="8">
        <f>29.99</f>
        <v>29.99</v>
      </c>
    </row>
    <row r="55" spans="1:10" ht="15.75" thickBot="1" x14ac:dyDescent="0.3">
      <c r="A55" s="79"/>
      <c r="B55" s="9" t="s">
        <v>14</v>
      </c>
      <c r="C55" s="10" t="s">
        <v>31</v>
      </c>
      <c r="D55" s="10" t="s">
        <v>32</v>
      </c>
      <c r="E55" s="17">
        <v>15.5</v>
      </c>
      <c r="F55" s="18">
        <v>0.6</v>
      </c>
      <c r="G55" s="18">
        <f>229.7*0.155</f>
        <v>35.603499999999997</v>
      </c>
      <c r="H55" s="11">
        <f>6.7*0.155</f>
        <v>1.0385</v>
      </c>
      <c r="I55" s="11">
        <f>1.1*0.155</f>
        <v>0.17050000000000001</v>
      </c>
      <c r="J55" s="12">
        <f>48.3*0.155</f>
        <v>7.4864999999999995</v>
      </c>
    </row>
    <row r="56" spans="1:10" ht="16.5" thickBot="1" x14ac:dyDescent="0.3">
      <c r="A56" s="91" t="s">
        <v>15</v>
      </c>
      <c r="B56" s="92"/>
      <c r="C56" s="92"/>
      <c r="D56" s="92"/>
      <c r="E56" s="97"/>
      <c r="F56" s="64">
        <f>SUM(F49:F55)</f>
        <v>76.999999999999972</v>
      </c>
      <c r="G56" s="64">
        <f>SUM(G49:G55)</f>
        <v>844.45350000000008</v>
      </c>
      <c r="H56" s="64">
        <f>SUM(H49:H55)</f>
        <v>19.079000000000001</v>
      </c>
      <c r="I56" s="64">
        <f>SUM(I49:I55)</f>
        <v>37.967000000000006</v>
      </c>
      <c r="J56" s="64">
        <f>SUM(J49:J55)</f>
        <v>104.95249999999999</v>
      </c>
    </row>
    <row r="57" spans="1:10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5.75" thickBot="1" x14ac:dyDescent="0.3">
      <c r="A58" s="98" t="s">
        <v>25</v>
      </c>
      <c r="B58" s="98"/>
      <c r="C58" s="98"/>
      <c r="D58" s="98"/>
      <c r="E58" s="98"/>
      <c r="F58" s="98"/>
      <c r="G58" s="98"/>
      <c r="H58" s="98"/>
      <c r="I58" s="98"/>
      <c r="J58" s="98"/>
    </row>
    <row r="59" spans="1:10" ht="15.75" x14ac:dyDescent="0.25">
      <c r="A59" s="22"/>
      <c r="B59" s="22"/>
      <c r="C59" s="83" t="s">
        <v>23</v>
      </c>
      <c r="D59" s="83"/>
      <c r="E59" s="63"/>
      <c r="F59" s="63"/>
      <c r="G59" s="84"/>
      <c r="H59" s="84"/>
      <c r="I59" s="84"/>
      <c r="J59" s="84"/>
    </row>
    <row r="60" spans="1:10" x14ac:dyDescent="0.25">
      <c r="A60" s="1"/>
      <c r="B60" s="1"/>
      <c r="C60" s="1"/>
      <c r="D60" s="1"/>
      <c r="E60" s="63"/>
      <c r="F60" s="63"/>
      <c r="G60" s="63"/>
      <c r="H60" s="63"/>
      <c r="I60" s="63"/>
      <c r="J60" s="63"/>
    </row>
    <row r="61" spans="1:10" x14ac:dyDescent="0.25">
      <c r="A61" s="85" t="s">
        <v>24</v>
      </c>
      <c r="B61" s="85"/>
      <c r="C61" s="63"/>
      <c r="D61" s="63"/>
      <c r="E61" s="63"/>
      <c r="F61" s="63"/>
      <c r="G61" s="63"/>
      <c r="H61" s="63"/>
      <c r="I61" s="63"/>
      <c r="J61" s="63"/>
    </row>
    <row r="62" spans="1:10" x14ac:dyDescent="0.25">
      <c r="A62" s="85" t="s">
        <v>26</v>
      </c>
      <c r="B62" s="85"/>
      <c r="C62" s="63"/>
      <c r="D62" s="63"/>
      <c r="E62" s="63"/>
      <c r="F62" s="63"/>
      <c r="G62" s="63"/>
      <c r="H62" s="63"/>
      <c r="I62" s="63"/>
      <c r="J62" s="63"/>
    </row>
  </sheetData>
  <mergeCells count="25">
    <mergeCell ref="G59:J59"/>
    <mergeCell ref="A61:B61"/>
    <mergeCell ref="A62:B62"/>
    <mergeCell ref="B1:C1"/>
    <mergeCell ref="G1:J1"/>
    <mergeCell ref="A9:E9"/>
    <mergeCell ref="A10:A14"/>
    <mergeCell ref="A15:E15"/>
    <mergeCell ref="A48:E48"/>
    <mergeCell ref="A49:A55"/>
    <mergeCell ref="A56:E56"/>
    <mergeCell ref="A58:J58"/>
    <mergeCell ref="A3:A8"/>
    <mergeCell ref="A24:E24"/>
    <mergeCell ref="A35:A38"/>
    <mergeCell ref="A42:E42"/>
    <mergeCell ref="A43:A47"/>
    <mergeCell ref="A25:A26"/>
    <mergeCell ref="A27:E27"/>
    <mergeCell ref="C59:D59"/>
    <mergeCell ref="A16:A23"/>
    <mergeCell ref="A28:A33"/>
    <mergeCell ref="A34:E34"/>
    <mergeCell ref="A39:E39"/>
    <mergeCell ref="A40:A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2022-12-01T04:46:46Z</dcterms:modified>
</cp:coreProperties>
</file>