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H52" i="1"/>
  <c r="G52" i="1"/>
  <c r="J48" i="1"/>
  <c r="I48" i="1"/>
  <c r="H48" i="1"/>
  <c r="G48" i="1"/>
  <c r="J49" i="1"/>
  <c r="I49" i="1"/>
  <c r="H49" i="1"/>
  <c r="G49" i="1"/>
  <c r="J47" i="1"/>
  <c r="I47" i="1"/>
  <c r="H47" i="1"/>
  <c r="G47" i="1"/>
  <c r="J46" i="1"/>
  <c r="I46" i="1"/>
  <c r="H46" i="1"/>
  <c r="G46" i="1"/>
  <c r="J44" i="1"/>
  <c r="I44" i="1"/>
  <c r="H44" i="1"/>
  <c r="G44" i="1"/>
  <c r="J42" i="1"/>
  <c r="I42" i="1"/>
  <c r="H42" i="1"/>
  <c r="G42" i="1"/>
  <c r="J41" i="1"/>
  <c r="I41" i="1"/>
  <c r="H41" i="1"/>
  <c r="G41" i="1"/>
  <c r="J37" i="1"/>
  <c r="I37" i="1"/>
  <c r="H37" i="1"/>
  <c r="G37" i="1"/>
  <c r="J35" i="1" l="1"/>
  <c r="I35" i="1"/>
  <c r="H35" i="1"/>
  <c r="G35" i="1"/>
  <c r="J33" i="1"/>
  <c r="I33" i="1"/>
  <c r="H33" i="1"/>
  <c r="G33" i="1"/>
  <c r="J32" i="1"/>
  <c r="I32" i="1"/>
  <c r="H32" i="1"/>
  <c r="G32" i="1"/>
  <c r="J30" i="1"/>
  <c r="I30" i="1"/>
  <c r="H30" i="1"/>
  <c r="G30" i="1"/>
  <c r="J29" i="1"/>
  <c r="I29" i="1"/>
  <c r="H29" i="1"/>
  <c r="G29" i="1"/>
  <c r="J26" i="1"/>
  <c r="I26" i="1"/>
  <c r="H26" i="1"/>
  <c r="G26" i="1"/>
  <c r="J24" i="1"/>
  <c r="I24" i="1"/>
  <c r="H24" i="1"/>
  <c r="G24" i="1"/>
  <c r="J23" i="1"/>
  <c r="I23" i="1"/>
  <c r="H23" i="1"/>
  <c r="G23" i="1"/>
  <c r="J20" i="1" l="1"/>
  <c r="I20" i="1"/>
  <c r="H20" i="1"/>
  <c r="G20" i="1"/>
  <c r="J19" i="1"/>
  <c r="I19" i="1"/>
  <c r="H19" i="1"/>
  <c r="G19" i="1"/>
  <c r="J17" i="1" l="1"/>
  <c r="I17" i="1"/>
  <c r="H17" i="1"/>
  <c r="G17" i="1"/>
  <c r="J14" i="1"/>
  <c r="I14" i="1"/>
  <c r="H14" i="1"/>
  <c r="G14" i="1"/>
  <c r="J12" i="1"/>
  <c r="I12" i="1"/>
  <c r="H12" i="1"/>
  <c r="G12" i="1"/>
  <c r="J10" i="1"/>
  <c r="I10" i="1"/>
  <c r="H10" i="1"/>
  <c r="G10" i="1"/>
  <c r="J9" i="1"/>
  <c r="I9" i="1"/>
  <c r="H9" i="1"/>
  <c r="G9" i="1"/>
  <c r="J6" i="1"/>
  <c r="I6" i="1"/>
  <c r="H6" i="1"/>
  <c r="G6" i="1"/>
  <c r="J3" i="1"/>
  <c r="I3" i="1"/>
  <c r="H3" i="1"/>
  <c r="G3" i="1"/>
  <c r="F53" i="1" l="1"/>
  <c r="J53" i="1"/>
  <c r="I53" i="1"/>
  <c r="H53" i="1"/>
  <c r="G53" i="1"/>
  <c r="F45" i="1"/>
  <c r="J40" i="1"/>
  <c r="J45" i="1" s="1"/>
  <c r="I40" i="1"/>
  <c r="I45" i="1" s="1"/>
  <c r="H40" i="1"/>
  <c r="H45" i="1" s="1"/>
  <c r="G40" i="1"/>
  <c r="G45" i="1" s="1"/>
  <c r="F39" i="1"/>
  <c r="J39" i="1"/>
  <c r="I39" i="1"/>
  <c r="H39" i="1"/>
  <c r="G39" i="1"/>
  <c r="F36" i="1"/>
  <c r="J36" i="1"/>
  <c r="I36" i="1"/>
  <c r="H36" i="1"/>
  <c r="G36" i="1"/>
  <c r="F31" i="1"/>
  <c r="J27" i="1"/>
  <c r="I27" i="1"/>
  <c r="H27" i="1"/>
  <c r="G27" i="1"/>
  <c r="J31" i="1"/>
  <c r="I31" i="1"/>
  <c r="H31" i="1"/>
  <c r="G31" i="1"/>
  <c r="F21" i="1" l="1"/>
  <c r="J16" i="1"/>
  <c r="I16" i="1"/>
  <c r="H16" i="1"/>
  <c r="G16" i="1"/>
  <c r="J15" i="1" l="1"/>
  <c r="J21" i="1" s="1"/>
  <c r="I15" i="1"/>
  <c r="I21" i="1" s="1"/>
  <c r="H15" i="1"/>
  <c r="H21" i="1" s="1"/>
  <c r="G15" i="1"/>
  <c r="G21" i="1" s="1"/>
  <c r="F7" i="1" l="1"/>
  <c r="J25" i="1" l="1"/>
  <c r="I25" i="1"/>
  <c r="H25" i="1"/>
  <c r="G25" i="1"/>
  <c r="J8" i="1"/>
  <c r="I8" i="1"/>
  <c r="H8" i="1"/>
  <c r="G8" i="1"/>
  <c r="J7" i="1" l="1"/>
  <c r="I7" i="1"/>
  <c r="H7" i="1"/>
  <c r="G7" i="1"/>
  <c r="F13" i="1" l="1"/>
  <c r="F25" i="1" l="1"/>
  <c r="J13" i="1" l="1"/>
  <c r="H13" i="1"/>
  <c r="G13" i="1"/>
  <c r="I13" i="1" l="1"/>
</calcChain>
</file>

<file path=xl/sharedStrings.xml><?xml version="1.0" encoding="utf-8"?>
<sst xmlns="http://schemas.openxmlformats.org/spreadsheetml/2006/main" count="176" uniqueCount="75">
  <si>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</si>
  <si>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</si>
  <si>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</si>
  <si>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</si>
  <si>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</si>
  <si>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</si>
  <si>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</si>
  <si>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</si>
  <si>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</si>
  <si>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</si>
  <si>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</si>
  <si>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</si>
  <si>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</si>
  <si>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</si>
  <si>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</si>
  <si>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</si>
  <si>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</si>
  <si>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</si>
  <si>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</si>
  <si>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</si>
  <si>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</si>
  <si>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</si>
  <si>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</si>
  <si>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</si>
  <si>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</si>
  <si>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</si>
  <si>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</si>
  <si>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</si>
  <si>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</si>
  <si>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</si>
  <si>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</si>
  <si>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</si>
  <si>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</si>
  <si>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</si>
  <si>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</si>
  <si>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</si>
  <si>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</si>
  <si>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№71-2015г.</t>
  </si>
  <si>
    <t>Завтрак 1-4 кл и дети-инвалиды 1 смена</t>
  </si>
  <si>
    <t>ПР</t>
  </si>
  <si>
    <t>Кондитерское изделие</t>
  </si>
  <si>
    <t>№424-2015г.</t>
  </si>
  <si>
    <t>Булочка домашняя</t>
  </si>
  <si>
    <t>№312-2015г.</t>
  </si>
  <si>
    <t>Пюре картофельное</t>
  </si>
  <si>
    <t>Напиток</t>
  </si>
  <si>
    <t>№82-2015г.</t>
  </si>
  <si>
    <t>Молочный коктейль "Авишка" 2,5 %</t>
  </si>
  <si>
    <t>№306-2015г.</t>
  </si>
  <si>
    <t>ТТК №22</t>
  </si>
  <si>
    <t>Биточки рыбные "по-домашнему"</t>
  </si>
  <si>
    <t>№265-2015г.</t>
  </si>
  <si>
    <t>Плов из свинины</t>
  </si>
  <si>
    <t>50/100</t>
  </si>
  <si>
    <t>Борщ со свежей капустой и картофелем со сметаной</t>
  </si>
  <si>
    <t>250/10</t>
  </si>
  <si>
    <t>Бобовые отварные (горошек зелёный консервированный)</t>
  </si>
  <si>
    <t>№686-2004г.</t>
  </si>
  <si>
    <t>Чай с лимоном</t>
  </si>
  <si>
    <t>200/15/7</t>
  </si>
  <si>
    <t>Печенье "Сахарное"</t>
  </si>
  <si>
    <t>№382-2015г.</t>
  </si>
  <si>
    <t>Какао с молоком</t>
  </si>
  <si>
    <t>ТТК №50</t>
  </si>
  <si>
    <t>Блинчик с джемом</t>
  </si>
  <si>
    <t>Фрукт</t>
  </si>
  <si>
    <t>№338-2015г.</t>
  </si>
  <si>
    <t>Апельсин свежий (порция)</t>
  </si>
  <si>
    <t>Пряник сливочный</t>
  </si>
  <si>
    <t>Овощи натуральные свежие (помидоры)</t>
  </si>
  <si>
    <t>Завтрак 5-11 кл с доплатой 70,00 руб. и льготники с доплатой 50,00 руб.; ДМГ 77,00 1 смена</t>
  </si>
  <si>
    <t>Обед 6-7 кл. 2-я смена с доплатой 70,00 руб. и льготники с доплатой 50,00 руб.; ДМГ 77,00 2-я смена</t>
  </si>
  <si>
    <t>№2-2015г.</t>
  </si>
  <si>
    <t>Бутерброд с повидлом</t>
  </si>
  <si>
    <t>25/29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</si>
</sst>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05">
    <xf numFmtId="0" fontId="0" fillId="0" borderId="0" xfId="0"/>
    <xf numFmtId="0" fontId="8" fillId="0" borderId="0" xfId="0" applyFont="1" applyAlignment="1">
      <alignment vertical="center" wrapText="1"/>
    </xf>
    <xf numFmtId="0" fontId="8" fillId="0" borderId="0" xfId="0" applyFont="1"/>
    <xf numFmtId="2" fontId="9" fillId="0" borderId="2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2" fontId="8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2" fontId="8" fillId="0" borderId="14" xfId="0" applyNumberFormat="1" applyFont="1" applyBorder="1" applyAlignment="1">
      <alignment vertical="center" wrapText="1"/>
    </xf>
    <xf numFmtId="2" fontId="8" fillId="0" borderId="15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2" fontId="8" fillId="0" borderId="9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2" fontId="8" fillId="0" borderId="14" xfId="0" applyNumberFormat="1" applyFont="1" applyBorder="1" applyAlignment="1">
      <alignment horizontal="right" vertical="center" wrapText="1"/>
    </xf>
    <xf numFmtId="2" fontId="9" fillId="0" borderId="7" xfId="0" applyNumberFormat="1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2" fontId="12" fillId="0" borderId="4" xfId="0" applyNumberFormat="1" applyFont="1" applyBorder="1" applyAlignment="1">
      <alignment horizontal="right" vertical="center" wrapText="1"/>
    </xf>
    <xf numFmtId="2" fontId="12" fillId="0" borderId="12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vertical="center" wrapText="1"/>
    </xf>
    <xf numFmtId="0" fontId="8" fillId="0" borderId="0" xfId="0" applyFont="1"/>
    <xf numFmtId="2" fontId="9" fillId="0" borderId="25" xfId="0" applyNumberFormat="1" applyFont="1" applyBorder="1" applyAlignment="1">
      <alignment vertical="center" wrapText="1"/>
    </xf>
    <xf numFmtId="0" fontId="8" fillId="0" borderId="0" xfId="0" applyFont="1"/>
    <xf numFmtId="0" fontId="8" fillId="0" borderId="0" xfId="0" applyFont="1"/>
    <xf numFmtId="2" fontId="8" fillId="0" borderId="15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/>
    <xf numFmtId="0" fontId="8" fillId="0" borderId="29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/>
    <xf numFmtId="0" fontId="8" fillId="0" borderId="0" xfId="0" applyFont="1"/>
    <xf numFmtId="0" fontId="8" fillId="0" borderId="4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/>
    <xf numFmtId="4" fontId="8" fillId="0" borderId="12" xfId="0" applyNumberFormat="1" applyFont="1" applyBorder="1" applyAlignment="1">
      <alignment horizontal="right" vertical="center" wrapText="1"/>
    </xf>
    <xf numFmtId="2" fontId="12" fillId="0" borderId="4" xfId="4" applyNumberFormat="1" applyFont="1" applyBorder="1" applyAlignment="1">
      <alignment horizontal="right" vertical="center" wrapText="1"/>
    </xf>
    <xf numFmtId="0" fontId="8" fillId="0" borderId="4" xfId="4" applyFont="1" applyBorder="1" applyAlignment="1">
      <alignment horizontal="left" vertical="center" wrapText="1"/>
    </xf>
    <xf numFmtId="0" fontId="13" fillId="0" borderId="4" xfId="4" applyFont="1" applyBorder="1" applyAlignment="1">
      <alignment vertical="center" wrapText="1"/>
    </xf>
    <xf numFmtId="2" fontId="12" fillId="0" borderId="12" xfId="4" applyNumberFormat="1" applyFont="1" applyBorder="1" applyAlignment="1">
      <alignment horizontal="right" vertical="center" wrapText="1"/>
    </xf>
    <xf numFmtId="0" fontId="8" fillId="0" borderId="0" xfId="0" applyFont="1"/>
    <xf numFmtId="2" fontId="9" fillId="0" borderId="30" xfId="0" applyNumberFormat="1" applyFont="1" applyBorder="1" applyAlignment="1">
      <alignment vertical="center" wrapText="1"/>
    </xf>
    <xf numFmtId="0" fontId="8" fillId="0" borderId="0" xfId="0" applyFont="1"/>
    <xf numFmtId="0" fontId="15" fillId="0" borderId="4" xfId="7" applyNumberFormat="1" applyFont="1" applyBorder="1" applyAlignment="1">
      <alignment horizontal="left" vertical="center" wrapText="1"/>
    </xf>
    <xf numFmtId="4" fontId="15" fillId="0" borderId="4" xfId="7" applyNumberFormat="1" applyFont="1" applyBorder="1" applyAlignment="1">
      <alignment horizontal="right" vertical="center"/>
    </xf>
    <xf numFmtId="4" fontId="8" fillId="0" borderId="4" xfId="6" applyNumberFormat="1" applyFont="1" applyBorder="1" applyAlignment="1">
      <alignment horizontal="right" vertical="center" wrapText="1"/>
    </xf>
    <xf numFmtId="4" fontId="8" fillId="0" borderId="12" xfId="6" applyNumberFormat="1" applyFont="1" applyBorder="1" applyAlignment="1">
      <alignment horizontal="right" vertical="center" wrapText="1"/>
    </xf>
    <xf numFmtId="0" fontId="8" fillId="0" borderId="4" xfId="6" applyFont="1" applyBorder="1" applyAlignment="1">
      <alignment vertical="center" wrapText="1"/>
    </xf>
    <xf numFmtId="2" fontId="9" fillId="0" borderId="36" xfId="0" applyNumberFormat="1" applyFont="1" applyBorder="1" applyAlignment="1">
      <alignment vertical="center" wrapText="1"/>
    </xf>
    <xf numFmtId="0" fontId="8" fillId="0" borderId="0" xfId="0" applyFont="1"/>
    <xf numFmtId="0" fontId="16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 wrapText="1"/>
    </xf>
    <xf numFmtId="0" fontId="9" fillId="0" borderId="34" xfId="0" applyFont="1" applyBorder="1" applyAlignment="1">
      <alignment horizontal="right" vertical="center" wrapText="1"/>
    </xf>
    <xf numFmtId="0" fontId="9" fillId="0" borderId="36" xfId="0" applyFont="1" applyBorder="1" applyAlignment="1">
      <alignment horizontal="right" vertical="center" wrapText="1"/>
    </xf>
    <xf numFmtId="0" fontId="8" fillId="0" borderId="0" xfId="0" applyFont="1"/>
    <xf numFmtId="0" fontId="9" fillId="0" borderId="18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right" vertical="center" wrapText="1"/>
    </xf>
    <xf numFmtId="0" fontId="9" fillId="0" borderId="27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2" fontId="12" fillId="0" borderId="9" xfId="0" applyNumberFormat="1" applyFont="1" applyBorder="1" applyAlignment="1">
      <alignment horizontal="right" vertical="center" wrapText="1"/>
    </xf>
    <xf numFmtId="2" fontId="12" fillId="0" borderId="10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8"/>
    <cellStyle name="Обычный_Лист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37" workbookViewId="0">
      <selection activeCell="B46" sqref="B46:J51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2" t="s">
        <v>22</v>
      </c>
      <c r="C1" s="83"/>
      <c r="D1" s="1" t="s">
        <v>1</v>
      </c>
      <c r="E1" s="25"/>
      <c r="F1" s="1" t="s">
        <v>2</v>
      </c>
      <c r="G1" s="84">
        <v>44897</v>
      </c>
      <c r="H1" s="85"/>
      <c r="I1" s="85"/>
      <c r="J1" s="86"/>
      <c r="K1" s="1"/>
      <c r="L1" s="1"/>
    </row>
    <row r="2" spans="1:12" ht="15.75" thickBot="1" x14ac:dyDescent="0.3">
      <c r="A2" s="31" t="s">
        <v>3</v>
      </c>
      <c r="B2" s="4" t="s">
        <v>4</v>
      </c>
      <c r="C2" s="32" t="s">
        <v>5</v>
      </c>
      <c r="D2" s="36" t="s">
        <v>6</v>
      </c>
      <c r="E2" s="36" t="s">
        <v>7</v>
      </c>
      <c r="F2" s="36" t="s">
        <v>8</v>
      </c>
      <c r="G2" s="4" t="s">
        <v>9</v>
      </c>
      <c r="H2" s="4" t="s">
        <v>10</v>
      </c>
      <c r="I2" s="4" t="s">
        <v>11</v>
      </c>
      <c r="J2" s="33" t="s">
        <v>12</v>
      </c>
    </row>
    <row r="3" spans="1:12" s="50" customFormat="1" ht="17.25" customHeight="1" x14ac:dyDescent="0.25">
      <c r="A3" s="90" t="s">
        <v>38</v>
      </c>
      <c r="B3" s="20" t="s">
        <v>13</v>
      </c>
      <c r="C3" s="21" t="s">
        <v>51</v>
      </c>
      <c r="D3" s="21" t="s">
        <v>52</v>
      </c>
      <c r="E3" s="13" t="s">
        <v>53</v>
      </c>
      <c r="F3" s="14">
        <v>51.31</v>
      </c>
      <c r="G3" s="100">
        <f>408</f>
        <v>408</v>
      </c>
      <c r="H3" s="100">
        <f>12.62</f>
        <v>12.62</v>
      </c>
      <c r="I3" s="100">
        <f>28.17</f>
        <v>28.17</v>
      </c>
      <c r="J3" s="101">
        <f>25.89</f>
        <v>25.89</v>
      </c>
    </row>
    <row r="4" spans="1:12" x14ac:dyDescent="0.25">
      <c r="A4" s="91"/>
      <c r="B4" s="7" t="s">
        <v>45</v>
      </c>
      <c r="C4" s="5" t="s">
        <v>39</v>
      </c>
      <c r="D4" s="5" t="s">
        <v>47</v>
      </c>
      <c r="E4" s="16">
        <v>200</v>
      </c>
      <c r="F4" s="6">
        <v>41.02</v>
      </c>
      <c r="G4" s="6">
        <v>160</v>
      </c>
      <c r="H4" s="6">
        <v>6.2</v>
      </c>
      <c r="I4" s="6">
        <v>5</v>
      </c>
      <c r="J4" s="8">
        <v>22</v>
      </c>
    </row>
    <row r="5" spans="1:12" s="43" customFormat="1" x14ac:dyDescent="0.25">
      <c r="A5" s="91"/>
      <c r="B5" s="7" t="s">
        <v>21</v>
      </c>
      <c r="C5" s="40" t="s">
        <v>41</v>
      </c>
      <c r="D5" s="5" t="s">
        <v>42</v>
      </c>
      <c r="E5" s="16">
        <v>50</v>
      </c>
      <c r="F5" s="6">
        <v>4.38</v>
      </c>
      <c r="G5" s="41">
        <v>159</v>
      </c>
      <c r="H5" s="41">
        <v>3.64</v>
      </c>
      <c r="I5" s="41">
        <v>6.26</v>
      </c>
      <c r="J5" s="45">
        <v>21.96</v>
      </c>
    </row>
    <row r="6" spans="1:12" s="38" customFormat="1" ht="15.75" thickBot="1" x14ac:dyDescent="0.3">
      <c r="A6" s="92"/>
      <c r="B6" s="9" t="s">
        <v>14</v>
      </c>
      <c r="C6" s="10" t="s">
        <v>31</v>
      </c>
      <c r="D6" s="10" t="s">
        <v>32</v>
      </c>
      <c r="E6" s="17">
        <v>11.5</v>
      </c>
      <c r="F6" s="18">
        <v>0.44</v>
      </c>
      <c r="G6" s="18">
        <f>229.7*0.115</f>
        <v>26.415500000000002</v>
      </c>
      <c r="H6" s="11">
        <f>6.7*0.115</f>
        <v>0.77050000000000007</v>
      </c>
      <c r="I6" s="11">
        <f>1.1*0.115</f>
        <v>0.12650000000000003</v>
      </c>
      <c r="J6" s="12">
        <f>48.3*0.115</f>
        <v>5.5545</v>
      </c>
    </row>
    <row r="7" spans="1:12" ht="16.5" thickBot="1" x14ac:dyDescent="0.3">
      <c r="A7" s="66" t="s">
        <v>15</v>
      </c>
      <c r="B7" s="69"/>
      <c r="C7" s="69"/>
      <c r="D7" s="69"/>
      <c r="E7" s="87"/>
      <c r="F7" s="51">
        <f>SUM(F3:F6)</f>
        <v>97.15</v>
      </c>
      <c r="G7" s="51">
        <f>SUM(G3:G6)</f>
        <v>753.41549999999995</v>
      </c>
      <c r="H7" s="51">
        <f>SUM(H3:H6)</f>
        <v>23.230499999999999</v>
      </c>
      <c r="I7" s="51">
        <f>SUM(I3:I6)</f>
        <v>39.5565</v>
      </c>
      <c r="J7" s="51">
        <f>SUM(J3:J6)</f>
        <v>75.404499999999999</v>
      </c>
    </row>
    <row r="8" spans="1:12" x14ac:dyDescent="0.25">
      <c r="A8" s="65" t="s">
        <v>27</v>
      </c>
      <c r="B8" s="7" t="s">
        <v>16</v>
      </c>
      <c r="C8" s="5" t="s">
        <v>46</v>
      </c>
      <c r="D8" s="5" t="s">
        <v>54</v>
      </c>
      <c r="E8" s="16" t="s">
        <v>55</v>
      </c>
      <c r="F8" s="6">
        <v>9.6</v>
      </c>
      <c r="G8" s="6">
        <f>415*0.25+162*0.1</f>
        <v>119.95</v>
      </c>
      <c r="H8" s="6">
        <f>7.21*0.25+2.6*0.1</f>
        <v>2.0625</v>
      </c>
      <c r="I8" s="6">
        <f>19.68*0.25+15*0.1</f>
        <v>6.42</v>
      </c>
      <c r="J8" s="8">
        <f>43.73*0.25+3.6*0.1</f>
        <v>11.292499999999999</v>
      </c>
      <c r="K8"/>
    </row>
    <row r="9" spans="1:12" x14ac:dyDescent="0.25">
      <c r="A9" s="65"/>
      <c r="B9" s="7" t="s">
        <v>13</v>
      </c>
      <c r="C9" s="53" t="s">
        <v>49</v>
      </c>
      <c r="D9" s="57" t="s">
        <v>50</v>
      </c>
      <c r="E9" s="16">
        <v>43</v>
      </c>
      <c r="F9" s="6">
        <v>19.829999999999998</v>
      </c>
      <c r="G9" s="54">
        <f>132.2/75*43</f>
        <v>75.794666666666657</v>
      </c>
      <c r="H9" s="55">
        <f>9.5/75*43</f>
        <v>5.4466666666666672</v>
      </c>
      <c r="I9" s="55">
        <f>5.6/75*43</f>
        <v>3.2106666666666666</v>
      </c>
      <c r="J9" s="56">
        <f>10.9/75*43</f>
        <v>6.2493333333333334</v>
      </c>
      <c r="K9"/>
    </row>
    <row r="10" spans="1:12" s="28" customFormat="1" ht="15.75" x14ac:dyDescent="0.25">
      <c r="A10" s="65"/>
      <c r="B10" s="7" t="s">
        <v>17</v>
      </c>
      <c r="C10" s="47" t="s">
        <v>43</v>
      </c>
      <c r="D10" s="48" t="s">
        <v>44</v>
      </c>
      <c r="E10" s="16">
        <v>100</v>
      </c>
      <c r="F10" s="6">
        <v>10.19</v>
      </c>
      <c r="G10" s="46">
        <f>915*0.1</f>
        <v>91.5</v>
      </c>
      <c r="H10" s="46">
        <f>20.43*0.1</f>
        <v>2.0430000000000001</v>
      </c>
      <c r="I10" s="46">
        <f>32.01*0.1</f>
        <v>3.2010000000000001</v>
      </c>
      <c r="J10" s="49">
        <f>136.26*0.1</f>
        <v>13.625999999999999</v>
      </c>
      <c r="K10"/>
    </row>
    <row r="11" spans="1:12" s="28" customFormat="1" x14ac:dyDescent="0.25">
      <c r="A11" s="65"/>
      <c r="B11" s="7" t="s">
        <v>18</v>
      </c>
      <c r="C11" s="5" t="s">
        <v>19</v>
      </c>
      <c r="D11" s="5" t="s">
        <v>20</v>
      </c>
      <c r="E11" s="16" t="s">
        <v>33</v>
      </c>
      <c r="F11" s="6">
        <v>2.2400000000000002</v>
      </c>
      <c r="G11" s="6">
        <v>60</v>
      </c>
      <c r="H11" s="6">
        <v>7.0000000000000007E-2</v>
      </c>
      <c r="I11" s="6">
        <v>0.02</v>
      </c>
      <c r="J11" s="8">
        <v>15</v>
      </c>
    </row>
    <row r="12" spans="1:12" ht="15.75" thickBot="1" x14ac:dyDescent="0.3">
      <c r="A12" s="65"/>
      <c r="B12" s="9" t="s">
        <v>14</v>
      </c>
      <c r="C12" s="10" t="s">
        <v>31</v>
      </c>
      <c r="D12" s="10" t="s">
        <v>32</v>
      </c>
      <c r="E12" s="17">
        <v>11</v>
      </c>
      <c r="F12" s="18">
        <v>0.43</v>
      </c>
      <c r="G12" s="18">
        <f>229.7*0.11</f>
        <v>25.266999999999999</v>
      </c>
      <c r="H12" s="11">
        <f>6.7*0.11</f>
        <v>0.73699999999999999</v>
      </c>
      <c r="I12" s="11">
        <f>1.1*0.11</f>
        <v>0.12100000000000001</v>
      </c>
      <c r="J12" s="12">
        <f>48.3*0.11</f>
        <v>5.3129999999999997</v>
      </c>
    </row>
    <row r="13" spans="1:12" ht="16.5" thickBot="1" x14ac:dyDescent="0.3">
      <c r="A13" s="88" t="s">
        <v>15</v>
      </c>
      <c r="B13" s="67"/>
      <c r="C13" s="67"/>
      <c r="D13" s="67"/>
      <c r="E13" s="68"/>
      <c r="F13" s="27">
        <f>SUM(F8:F12)</f>
        <v>42.29</v>
      </c>
      <c r="G13" s="27">
        <f t="shared" ref="G13:J13" si="0">SUM(G8:G12)</f>
        <v>372.51166666666666</v>
      </c>
      <c r="H13" s="27">
        <f t="shared" si="0"/>
        <v>10.359166666666669</v>
      </c>
      <c r="I13" s="27">
        <f t="shared" si="0"/>
        <v>12.972666666666667</v>
      </c>
      <c r="J13" s="27">
        <f t="shared" si="0"/>
        <v>51.480833333333337</v>
      </c>
    </row>
    <row r="14" spans="1:12" s="52" customFormat="1" ht="15.75" customHeight="1" x14ac:dyDescent="0.25">
      <c r="A14" s="93" t="s">
        <v>28</v>
      </c>
      <c r="B14" s="60" t="s">
        <v>30</v>
      </c>
      <c r="C14" s="42" t="s">
        <v>48</v>
      </c>
      <c r="D14" s="42" t="s">
        <v>56</v>
      </c>
      <c r="E14" s="13">
        <v>15</v>
      </c>
      <c r="F14" s="14">
        <v>10.36</v>
      </c>
      <c r="G14" s="14">
        <f>592*0.015</f>
        <v>8.879999999999999</v>
      </c>
      <c r="H14" s="14">
        <f>28.85*0.015</f>
        <v>0.43275000000000002</v>
      </c>
      <c r="I14" s="14">
        <f>27.24*0.015</f>
        <v>0.40859999999999996</v>
      </c>
      <c r="J14" s="15">
        <f>57.86*0.015</f>
        <v>0.8679</v>
      </c>
      <c r="K14"/>
    </row>
    <row r="15" spans="1:12" s="37" customFormat="1" x14ac:dyDescent="0.25">
      <c r="A15" s="94"/>
      <c r="B15" s="7" t="s">
        <v>16</v>
      </c>
      <c r="C15" s="5" t="s">
        <v>46</v>
      </c>
      <c r="D15" s="5" t="s">
        <v>54</v>
      </c>
      <c r="E15" s="16" t="s">
        <v>55</v>
      </c>
      <c r="F15" s="6">
        <v>9.6</v>
      </c>
      <c r="G15" s="6">
        <f>415*0.25+162*0.1</f>
        <v>119.95</v>
      </c>
      <c r="H15" s="6">
        <f>7.21*0.25+2.6*0.1</f>
        <v>2.0625</v>
      </c>
      <c r="I15" s="6">
        <f>19.68*0.25+15*0.1</f>
        <v>6.42</v>
      </c>
      <c r="J15" s="8">
        <f>43.73*0.25+3.6*0.1</f>
        <v>11.292499999999999</v>
      </c>
    </row>
    <row r="16" spans="1:12" s="26" customFormat="1" x14ac:dyDescent="0.25">
      <c r="A16" s="94"/>
      <c r="B16" s="7" t="s">
        <v>13</v>
      </c>
      <c r="C16" s="53" t="s">
        <v>49</v>
      </c>
      <c r="D16" s="57" t="s">
        <v>50</v>
      </c>
      <c r="E16" s="16">
        <v>80</v>
      </c>
      <c r="F16" s="6">
        <v>36.9</v>
      </c>
      <c r="G16" s="54">
        <f>132.2/75*80</f>
        <v>141.01333333333332</v>
      </c>
      <c r="H16" s="55">
        <f>9.5/75*80</f>
        <v>10.133333333333335</v>
      </c>
      <c r="I16" s="55">
        <f>5.6/75*80</f>
        <v>5.9733333333333327</v>
      </c>
      <c r="J16" s="56">
        <f>10.9/75*80</f>
        <v>11.626666666666667</v>
      </c>
      <c r="K16"/>
    </row>
    <row r="17" spans="1:11" s="35" customFormat="1" ht="15.75" x14ac:dyDescent="0.25">
      <c r="A17" s="94"/>
      <c r="B17" s="7" t="s">
        <v>17</v>
      </c>
      <c r="C17" s="47" t="s">
        <v>43</v>
      </c>
      <c r="D17" s="48" t="s">
        <v>44</v>
      </c>
      <c r="E17" s="16">
        <v>150</v>
      </c>
      <c r="F17" s="6">
        <v>15.28</v>
      </c>
      <c r="G17" s="46">
        <f>915*0.15</f>
        <v>137.25</v>
      </c>
      <c r="H17" s="46">
        <f>20.43*0.15</f>
        <v>3.0644999999999998</v>
      </c>
      <c r="I17" s="46">
        <f>32.01*0.15</f>
        <v>4.8014999999999999</v>
      </c>
      <c r="J17" s="49">
        <f>136.26*0.15</f>
        <v>20.438999999999997</v>
      </c>
      <c r="K17"/>
    </row>
    <row r="18" spans="1:11" s="34" customFormat="1" x14ac:dyDescent="0.25">
      <c r="A18" s="94"/>
      <c r="B18" s="7" t="s">
        <v>18</v>
      </c>
      <c r="C18" s="5" t="s">
        <v>57</v>
      </c>
      <c r="D18" s="5" t="s">
        <v>58</v>
      </c>
      <c r="E18" s="16" t="s">
        <v>59</v>
      </c>
      <c r="F18" s="6">
        <v>3.77</v>
      </c>
      <c r="G18" s="6">
        <v>62</v>
      </c>
      <c r="H18" s="6">
        <v>0.13</v>
      </c>
      <c r="I18" s="6">
        <v>0.02</v>
      </c>
      <c r="J18" s="8">
        <v>15.2</v>
      </c>
    </row>
    <row r="19" spans="1:11" s="44" customFormat="1" ht="15.75" x14ac:dyDescent="0.25">
      <c r="A19" s="94"/>
      <c r="B19" s="7" t="s">
        <v>21</v>
      </c>
      <c r="C19" s="40" t="s">
        <v>63</v>
      </c>
      <c r="D19" s="102" t="s">
        <v>64</v>
      </c>
      <c r="E19" s="16">
        <v>55</v>
      </c>
      <c r="F19" s="6">
        <v>20.260000000000002</v>
      </c>
      <c r="G19" s="41">
        <f>192.8/90*55</f>
        <v>117.82222222222222</v>
      </c>
      <c r="H19" s="23">
        <f>2.9/9*5.5</f>
        <v>1.7722222222222221</v>
      </c>
      <c r="I19" s="23">
        <f>7.6/9*5.5</f>
        <v>4.6444444444444448</v>
      </c>
      <c r="J19" s="24">
        <f>28.3/9*5.5</f>
        <v>17.294444444444444</v>
      </c>
      <c r="K19"/>
    </row>
    <row r="20" spans="1:11" s="34" customFormat="1" ht="15.75" thickBot="1" x14ac:dyDescent="0.3">
      <c r="A20" s="95"/>
      <c r="B20" s="9" t="s">
        <v>14</v>
      </c>
      <c r="C20" s="10" t="s">
        <v>31</v>
      </c>
      <c r="D20" s="10" t="s">
        <v>32</v>
      </c>
      <c r="E20" s="17">
        <v>25</v>
      </c>
      <c r="F20" s="18">
        <v>0.98</v>
      </c>
      <c r="G20" s="18">
        <f>229.7*0.25</f>
        <v>57.424999999999997</v>
      </c>
      <c r="H20" s="11">
        <f>6.7*0.25</f>
        <v>1.675</v>
      </c>
      <c r="I20" s="11">
        <f>1.1*0.25</f>
        <v>0.27500000000000002</v>
      </c>
      <c r="J20" s="12">
        <f>48.3*0.25</f>
        <v>12.074999999999999</v>
      </c>
    </row>
    <row r="21" spans="1:11" s="29" customFormat="1" ht="16.5" thickBot="1" x14ac:dyDescent="0.3">
      <c r="A21" s="66" t="s">
        <v>15</v>
      </c>
      <c r="B21" s="73"/>
      <c r="C21" s="73"/>
      <c r="D21" s="73"/>
      <c r="E21" s="89"/>
      <c r="F21" s="19">
        <f>SUM(F14:F20)</f>
        <v>97.15</v>
      </c>
      <c r="G21" s="19">
        <f t="shared" ref="G21:J21" si="1">SUM(G14:G20)</f>
        <v>644.34055555555551</v>
      </c>
      <c r="H21" s="19">
        <f t="shared" si="1"/>
        <v>19.270305555555556</v>
      </c>
      <c r="I21" s="19">
        <f t="shared" si="1"/>
        <v>22.542877777777775</v>
      </c>
      <c r="J21" s="19">
        <f t="shared" si="1"/>
        <v>88.795511111111111</v>
      </c>
      <c r="K21"/>
    </row>
    <row r="22" spans="1:11" s="34" customFormat="1" x14ac:dyDescent="0.25">
      <c r="A22" s="65" t="s">
        <v>29</v>
      </c>
      <c r="B22" s="20" t="s">
        <v>18</v>
      </c>
      <c r="C22" s="21" t="s">
        <v>19</v>
      </c>
      <c r="D22" s="21" t="s">
        <v>20</v>
      </c>
      <c r="E22" s="13" t="s">
        <v>33</v>
      </c>
      <c r="F22" s="14">
        <v>2.2400000000000002</v>
      </c>
      <c r="G22" s="14">
        <v>60</v>
      </c>
      <c r="H22" s="14">
        <v>7.0000000000000007E-2</v>
      </c>
      <c r="I22" s="14">
        <v>0.02</v>
      </c>
      <c r="J22" s="15">
        <v>15</v>
      </c>
      <c r="K22"/>
    </row>
    <row r="23" spans="1:11" s="44" customFormat="1" x14ac:dyDescent="0.25">
      <c r="A23" s="65"/>
      <c r="B23" s="7" t="s">
        <v>40</v>
      </c>
      <c r="C23" s="5" t="s">
        <v>39</v>
      </c>
      <c r="D23" s="5" t="s">
        <v>68</v>
      </c>
      <c r="E23" s="16">
        <v>35</v>
      </c>
      <c r="F23" s="6">
        <v>8.2899999999999991</v>
      </c>
      <c r="G23" s="6">
        <f>350*0.35</f>
        <v>122.49999999999999</v>
      </c>
      <c r="H23" s="6">
        <f>5*0.35</f>
        <v>1.75</v>
      </c>
      <c r="I23" s="6">
        <f>6*0.35</f>
        <v>2.0999999999999996</v>
      </c>
      <c r="J23" s="8">
        <f>69*0.35</f>
        <v>24.15</v>
      </c>
      <c r="K23"/>
    </row>
    <row r="24" spans="1:11" s="39" customFormat="1" ht="15.75" thickBot="1" x14ac:dyDescent="0.3">
      <c r="A24" s="65"/>
      <c r="B24" s="9" t="s">
        <v>65</v>
      </c>
      <c r="C24" s="10" t="s">
        <v>66</v>
      </c>
      <c r="D24" s="10" t="s">
        <v>67</v>
      </c>
      <c r="E24" s="17">
        <v>190</v>
      </c>
      <c r="F24" s="18">
        <v>31.76</v>
      </c>
      <c r="G24" s="103">
        <f>43*1.9</f>
        <v>81.7</v>
      </c>
      <c r="H24" s="103">
        <f>0.9*1.9</f>
        <v>1.71</v>
      </c>
      <c r="I24" s="103">
        <f>0.2*1.9</f>
        <v>0.38</v>
      </c>
      <c r="J24" s="104">
        <f>8.1*1.9</f>
        <v>15.389999999999999</v>
      </c>
      <c r="K24"/>
    </row>
    <row r="25" spans="1:11" ht="16.5" thickBot="1" x14ac:dyDescent="0.3">
      <c r="A25" s="97" t="s">
        <v>15</v>
      </c>
      <c r="B25" s="98"/>
      <c r="C25" s="98"/>
      <c r="D25" s="98"/>
      <c r="E25" s="99"/>
      <c r="F25" s="3">
        <f>SUM(F22:F24)</f>
        <v>42.29</v>
      </c>
      <c r="G25" s="3">
        <f t="shared" ref="G25:J25" si="2">SUM(G22:G24)</f>
        <v>264.2</v>
      </c>
      <c r="H25" s="3">
        <f t="shared" si="2"/>
        <v>3.5300000000000002</v>
      </c>
      <c r="I25" s="3">
        <f t="shared" si="2"/>
        <v>2.4999999999999996</v>
      </c>
      <c r="J25" s="3">
        <f t="shared" si="2"/>
        <v>54.54</v>
      </c>
      <c r="K25"/>
    </row>
    <row r="26" spans="1:11" ht="15.75" x14ac:dyDescent="0.25">
      <c r="A26" s="90" t="s">
        <v>70</v>
      </c>
      <c r="B26" s="60" t="s">
        <v>30</v>
      </c>
      <c r="C26" s="42" t="s">
        <v>37</v>
      </c>
      <c r="D26" s="42" t="s">
        <v>69</v>
      </c>
      <c r="E26" s="13">
        <v>20</v>
      </c>
      <c r="F26" s="14">
        <v>3.55</v>
      </c>
      <c r="G26" s="14">
        <f>11*0.4</f>
        <v>4.4000000000000004</v>
      </c>
      <c r="H26" s="14">
        <f>0.55*0.4</f>
        <v>0.22000000000000003</v>
      </c>
      <c r="I26" s="14">
        <f>0.1*0.4</f>
        <v>4.0000000000000008E-2</v>
      </c>
      <c r="J26" s="15">
        <f>1.9*0.4</f>
        <v>0.76</v>
      </c>
    </row>
    <row r="27" spans="1:11" ht="15.75" customHeight="1" x14ac:dyDescent="0.25">
      <c r="A27" s="91"/>
      <c r="B27" s="7" t="s">
        <v>13</v>
      </c>
      <c r="C27" s="5" t="s">
        <v>51</v>
      </c>
      <c r="D27" s="5" t="s">
        <v>52</v>
      </c>
      <c r="E27" s="16" t="s">
        <v>53</v>
      </c>
      <c r="F27" s="6">
        <v>51.31</v>
      </c>
      <c r="G27" s="23">
        <f>408</f>
        <v>408</v>
      </c>
      <c r="H27" s="23">
        <f>12.62</f>
        <v>12.62</v>
      </c>
      <c r="I27" s="23">
        <f>28.17</f>
        <v>28.17</v>
      </c>
      <c r="J27" s="24">
        <f>25.89</f>
        <v>25.89</v>
      </c>
    </row>
    <row r="28" spans="1:11" x14ac:dyDescent="0.25">
      <c r="A28" s="91"/>
      <c r="B28" s="7" t="s">
        <v>18</v>
      </c>
      <c r="C28" s="5" t="s">
        <v>61</v>
      </c>
      <c r="D28" s="5" t="s">
        <v>62</v>
      </c>
      <c r="E28" s="16">
        <v>200</v>
      </c>
      <c r="F28" s="6">
        <v>18.600000000000001</v>
      </c>
      <c r="G28" s="6">
        <v>136</v>
      </c>
      <c r="H28" s="6">
        <v>3.64</v>
      </c>
      <c r="I28" s="6">
        <v>3.35</v>
      </c>
      <c r="J28" s="8">
        <v>22.82</v>
      </c>
    </row>
    <row r="29" spans="1:11" ht="15" customHeight="1" x14ac:dyDescent="0.25">
      <c r="A29" s="91"/>
      <c r="B29" s="7" t="s">
        <v>40</v>
      </c>
      <c r="C29" s="5" t="s">
        <v>39</v>
      </c>
      <c r="D29" s="5" t="s">
        <v>60</v>
      </c>
      <c r="E29" s="16">
        <v>12</v>
      </c>
      <c r="F29" s="6">
        <v>2.69</v>
      </c>
      <c r="G29" s="6">
        <f>470*0.12</f>
        <v>56.4</v>
      </c>
      <c r="H29" s="6">
        <f>6*0.12</f>
        <v>0.72</v>
      </c>
      <c r="I29" s="6">
        <f>20*0.12</f>
        <v>2.4</v>
      </c>
      <c r="J29" s="8">
        <f>65*0.12</f>
        <v>7.8</v>
      </c>
    </row>
    <row r="30" spans="1:11" ht="15" customHeight="1" thickBot="1" x14ac:dyDescent="0.3">
      <c r="A30" s="96"/>
      <c r="B30" s="9" t="s">
        <v>14</v>
      </c>
      <c r="C30" s="10" t="s">
        <v>31</v>
      </c>
      <c r="D30" s="10" t="s">
        <v>32</v>
      </c>
      <c r="E30" s="17">
        <v>22</v>
      </c>
      <c r="F30" s="18">
        <v>0.85</v>
      </c>
      <c r="G30" s="18">
        <f>229.7*0.22</f>
        <v>50.533999999999999</v>
      </c>
      <c r="H30" s="11">
        <f>6.7*0.22</f>
        <v>1.474</v>
      </c>
      <c r="I30" s="11">
        <f>1.1*0.22</f>
        <v>0.24200000000000002</v>
      </c>
      <c r="J30" s="12">
        <f>48.3*0.22</f>
        <v>10.625999999999999</v>
      </c>
    </row>
    <row r="31" spans="1:11" ht="16.5" thickBot="1" x14ac:dyDescent="0.3">
      <c r="A31" s="72" t="s">
        <v>15</v>
      </c>
      <c r="B31" s="73"/>
      <c r="C31" s="73"/>
      <c r="D31" s="73"/>
      <c r="E31" s="74"/>
      <c r="F31" s="19">
        <f>SUM(F26:F30)</f>
        <v>77</v>
      </c>
      <c r="G31" s="19">
        <f t="shared" ref="G31:J31" si="3">SUM(G26:G30)</f>
        <v>655.33399999999995</v>
      </c>
      <c r="H31" s="19">
        <f t="shared" si="3"/>
        <v>18.673999999999999</v>
      </c>
      <c r="I31" s="19">
        <f t="shared" si="3"/>
        <v>34.201999999999998</v>
      </c>
      <c r="J31" s="19">
        <f t="shared" si="3"/>
        <v>67.896000000000001</v>
      </c>
    </row>
    <row r="32" spans="1:11" ht="18" customHeight="1" x14ac:dyDescent="0.25">
      <c r="A32" s="75" t="s">
        <v>34</v>
      </c>
      <c r="B32" s="60" t="s">
        <v>30</v>
      </c>
      <c r="C32" s="42" t="s">
        <v>48</v>
      </c>
      <c r="D32" s="42" t="s">
        <v>56</v>
      </c>
      <c r="E32" s="13">
        <v>12</v>
      </c>
      <c r="F32" s="14">
        <v>8.2899999999999991</v>
      </c>
      <c r="G32" s="14">
        <f>592*0.012</f>
        <v>7.1040000000000001</v>
      </c>
      <c r="H32" s="14">
        <f>28.85*0.012</f>
        <v>0.34620000000000001</v>
      </c>
      <c r="I32" s="14">
        <f>27.24*0.012</f>
        <v>0.32688</v>
      </c>
      <c r="J32" s="15">
        <f>57.86*0.012</f>
        <v>0.69432000000000005</v>
      </c>
    </row>
    <row r="33" spans="1:10" ht="15.75" x14ac:dyDescent="0.25">
      <c r="A33" s="76"/>
      <c r="B33" s="7" t="s">
        <v>17</v>
      </c>
      <c r="C33" s="47" t="s">
        <v>43</v>
      </c>
      <c r="D33" s="48" t="s">
        <v>44</v>
      </c>
      <c r="E33" s="16">
        <v>150</v>
      </c>
      <c r="F33" s="6">
        <v>15.28</v>
      </c>
      <c r="G33" s="46">
        <f>915*0.15</f>
        <v>137.25</v>
      </c>
      <c r="H33" s="46">
        <f>20.43*0.15</f>
        <v>3.0644999999999998</v>
      </c>
      <c r="I33" s="46">
        <f>32.01*0.15</f>
        <v>4.8014999999999999</v>
      </c>
      <c r="J33" s="49">
        <f>136.26*0.15</f>
        <v>20.438999999999997</v>
      </c>
    </row>
    <row r="34" spans="1:10" x14ac:dyDescent="0.25">
      <c r="A34" s="76"/>
      <c r="B34" s="7" t="s">
        <v>18</v>
      </c>
      <c r="C34" s="5" t="s">
        <v>19</v>
      </c>
      <c r="D34" s="5" t="s">
        <v>20</v>
      </c>
      <c r="E34" s="16" t="s">
        <v>33</v>
      </c>
      <c r="F34" s="6">
        <v>2.2400000000000002</v>
      </c>
      <c r="G34" s="6">
        <v>60</v>
      </c>
      <c r="H34" s="6">
        <v>7.0000000000000007E-2</v>
      </c>
      <c r="I34" s="6">
        <v>0.02</v>
      </c>
      <c r="J34" s="8">
        <v>15</v>
      </c>
    </row>
    <row r="35" spans="1:10" ht="15.75" thickBot="1" x14ac:dyDescent="0.3">
      <c r="A35" s="77"/>
      <c r="B35" s="9" t="s">
        <v>14</v>
      </c>
      <c r="C35" s="10" t="s">
        <v>31</v>
      </c>
      <c r="D35" s="10" t="s">
        <v>32</v>
      </c>
      <c r="E35" s="17">
        <v>31</v>
      </c>
      <c r="F35" s="18">
        <v>1.19</v>
      </c>
      <c r="G35" s="18">
        <f>229.7*0.31</f>
        <v>71.206999999999994</v>
      </c>
      <c r="H35" s="11">
        <f>6.7*0.31</f>
        <v>2.077</v>
      </c>
      <c r="I35" s="11">
        <f>1.1*0.31</f>
        <v>0.34100000000000003</v>
      </c>
      <c r="J35" s="12">
        <f>48.3*0.31</f>
        <v>14.972999999999999</v>
      </c>
    </row>
    <row r="36" spans="1:10" ht="16.5" thickBot="1" x14ac:dyDescent="0.3">
      <c r="A36" s="78" t="s">
        <v>15</v>
      </c>
      <c r="B36" s="73"/>
      <c r="C36" s="73"/>
      <c r="D36" s="73"/>
      <c r="E36" s="74"/>
      <c r="F36" s="19">
        <f>SUM(F32:F35)</f>
        <v>27.000000000000004</v>
      </c>
      <c r="G36" s="19">
        <f>SUM(G32:G35)</f>
        <v>275.56100000000004</v>
      </c>
      <c r="H36" s="19">
        <f>SUM(H32:H35)</f>
        <v>5.5576999999999996</v>
      </c>
      <c r="I36" s="19">
        <f>SUM(I32:I35)</f>
        <v>5.4893799999999997</v>
      </c>
      <c r="J36" s="19">
        <f>SUM(J32:J35)</f>
        <v>51.106319999999997</v>
      </c>
    </row>
    <row r="37" spans="1:10" ht="47.25" customHeight="1" x14ac:dyDescent="0.25">
      <c r="A37" s="79" t="s">
        <v>35</v>
      </c>
      <c r="B37" s="20" t="s">
        <v>30</v>
      </c>
      <c r="C37" s="21" t="s">
        <v>72</v>
      </c>
      <c r="D37" s="21" t="s">
        <v>73</v>
      </c>
      <c r="E37" s="13" t="s">
        <v>74</v>
      </c>
      <c r="F37" s="14">
        <v>4.76</v>
      </c>
      <c r="G37" s="14">
        <f>250*0.25+229.7*0.29</f>
        <v>129.113</v>
      </c>
      <c r="H37" s="14">
        <f>0.4*0.25+6.7*0.29</f>
        <v>2.0429999999999997</v>
      </c>
      <c r="I37" s="14">
        <f>0+1.1*0.29</f>
        <v>0.31900000000000001</v>
      </c>
      <c r="J37" s="15">
        <f>65*0.25+48.3*0.29</f>
        <v>30.256999999999998</v>
      </c>
    </row>
    <row r="38" spans="1:10" ht="15.75" thickBot="1" x14ac:dyDescent="0.3">
      <c r="A38" s="80"/>
      <c r="B38" s="9" t="s">
        <v>18</v>
      </c>
      <c r="C38" s="10" t="s">
        <v>19</v>
      </c>
      <c r="D38" s="10" t="s">
        <v>20</v>
      </c>
      <c r="E38" s="17" t="s">
        <v>33</v>
      </c>
      <c r="F38" s="18">
        <v>2.2400000000000002</v>
      </c>
      <c r="G38" s="18">
        <v>60</v>
      </c>
      <c r="H38" s="18">
        <v>7.0000000000000007E-2</v>
      </c>
      <c r="I38" s="18">
        <v>0.02</v>
      </c>
      <c r="J38" s="30">
        <v>15</v>
      </c>
    </row>
    <row r="39" spans="1:10" ht="16.5" thickBot="1" x14ac:dyDescent="0.3">
      <c r="A39" s="81" t="s">
        <v>15</v>
      </c>
      <c r="B39" s="73"/>
      <c r="C39" s="73"/>
      <c r="D39" s="73"/>
      <c r="E39" s="74"/>
      <c r="F39" s="19">
        <f>SUM(F37:F38)</f>
        <v>7</v>
      </c>
      <c r="G39" s="19">
        <f>SUM(G37:G38)</f>
        <v>189.113</v>
      </c>
      <c r="H39" s="19">
        <f t="shared" ref="H39:J39" si="4">SUM(H37:H38)</f>
        <v>2.1129999999999995</v>
      </c>
      <c r="I39" s="19">
        <f t="shared" si="4"/>
        <v>0.33900000000000002</v>
      </c>
      <c r="J39" s="19">
        <f t="shared" si="4"/>
        <v>45.256999999999998</v>
      </c>
    </row>
    <row r="40" spans="1:10" x14ac:dyDescent="0.25">
      <c r="A40" s="64" t="s">
        <v>36</v>
      </c>
      <c r="B40" s="20" t="s">
        <v>16</v>
      </c>
      <c r="C40" s="21" t="s">
        <v>46</v>
      </c>
      <c r="D40" s="21" t="s">
        <v>54</v>
      </c>
      <c r="E40" s="13" t="s">
        <v>55</v>
      </c>
      <c r="F40" s="14">
        <v>9.6</v>
      </c>
      <c r="G40" s="14">
        <f>415*0.25+162*0.1</f>
        <v>119.95</v>
      </c>
      <c r="H40" s="14">
        <f>7.21*0.25+2.6*0.1</f>
        <v>2.0625</v>
      </c>
      <c r="I40" s="14">
        <f>19.68*0.25+15*0.1</f>
        <v>6.42</v>
      </c>
      <c r="J40" s="15">
        <f>43.73*0.25+3.6*0.1</f>
        <v>11.292499999999999</v>
      </c>
    </row>
    <row r="41" spans="1:10" x14ac:dyDescent="0.25">
      <c r="A41" s="65"/>
      <c r="B41" s="7" t="s">
        <v>13</v>
      </c>
      <c r="C41" s="53" t="s">
        <v>49</v>
      </c>
      <c r="D41" s="57" t="s">
        <v>50</v>
      </c>
      <c r="E41" s="16">
        <v>45</v>
      </c>
      <c r="F41" s="6">
        <v>20.75</v>
      </c>
      <c r="G41" s="54">
        <f>132.2/75*45</f>
        <v>79.319999999999993</v>
      </c>
      <c r="H41" s="55">
        <f>9.5/75*45</f>
        <v>5.7</v>
      </c>
      <c r="I41" s="55">
        <f>5.6/75*45</f>
        <v>3.3599999999999994</v>
      </c>
      <c r="J41" s="56">
        <f>10.9/75*45</f>
        <v>6.54</v>
      </c>
    </row>
    <row r="42" spans="1:10" ht="15.75" x14ac:dyDescent="0.25">
      <c r="A42" s="65"/>
      <c r="B42" s="7" t="s">
        <v>17</v>
      </c>
      <c r="C42" s="47" t="s">
        <v>43</v>
      </c>
      <c r="D42" s="48" t="s">
        <v>44</v>
      </c>
      <c r="E42" s="16">
        <v>100</v>
      </c>
      <c r="F42" s="6">
        <v>10.19</v>
      </c>
      <c r="G42" s="46">
        <f>915*0.1</f>
        <v>91.5</v>
      </c>
      <c r="H42" s="46">
        <f>20.43*0.1</f>
        <v>2.0430000000000001</v>
      </c>
      <c r="I42" s="46">
        <f>32.01*0.1</f>
        <v>3.2010000000000001</v>
      </c>
      <c r="J42" s="49">
        <f>136.26*0.1</f>
        <v>13.625999999999999</v>
      </c>
    </row>
    <row r="43" spans="1:10" x14ac:dyDescent="0.25">
      <c r="A43" s="65"/>
      <c r="B43" s="7" t="s">
        <v>18</v>
      </c>
      <c r="C43" s="5" t="s">
        <v>19</v>
      </c>
      <c r="D43" s="5" t="s">
        <v>20</v>
      </c>
      <c r="E43" s="16" t="s">
        <v>33</v>
      </c>
      <c r="F43" s="6">
        <v>2.2400000000000002</v>
      </c>
      <c r="G43" s="6">
        <v>60</v>
      </c>
      <c r="H43" s="6">
        <v>7.0000000000000007E-2</v>
      </c>
      <c r="I43" s="6">
        <v>0.02</v>
      </c>
      <c r="J43" s="8">
        <v>15</v>
      </c>
    </row>
    <row r="44" spans="1:10" ht="15.75" thickBot="1" x14ac:dyDescent="0.3">
      <c r="A44" s="65"/>
      <c r="B44" s="9" t="s">
        <v>14</v>
      </c>
      <c r="C44" s="10" t="s">
        <v>31</v>
      </c>
      <c r="D44" s="10" t="s">
        <v>32</v>
      </c>
      <c r="E44" s="17">
        <v>57.5</v>
      </c>
      <c r="F44" s="18">
        <v>2.2200000000000002</v>
      </c>
      <c r="G44" s="18">
        <f>229.7*0.575</f>
        <v>132.07749999999999</v>
      </c>
      <c r="H44" s="11">
        <f>6.7*0.575</f>
        <v>3.8524999999999996</v>
      </c>
      <c r="I44" s="11">
        <f>1.1*0.575</f>
        <v>0.63249999999999995</v>
      </c>
      <c r="J44" s="12">
        <f>48.3*0.575</f>
        <v>27.772499999999997</v>
      </c>
    </row>
    <row r="45" spans="1:10" ht="16.5" thickBot="1" x14ac:dyDescent="0.3">
      <c r="A45" s="66" t="s">
        <v>15</v>
      </c>
      <c r="B45" s="67"/>
      <c r="C45" s="67"/>
      <c r="D45" s="67"/>
      <c r="E45" s="68"/>
      <c r="F45" s="27">
        <f>SUM(F40:F44)</f>
        <v>45</v>
      </c>
      <c r="G45" s="27">
        <f>SUM(G40:G44)</f>
        <v>482.84749999999997</v>
      </c>
      <c r="H45" s="27">
        <f>SUM(H40:H44)</f>
        <v>13.728</v>
      </c>
      <c r="I45" s="27">
        <f>SUM(I40:I44)</f>
        <v>13.6335</v>
      </c>
      <c r="J45" s="27">
        <f>SUM(J40:J44)</f>
        <v>74.230999999999995</v>
      </c>
    </row>
    <row r="46" spans="1:10" ht="16.5" customHeight="1" x14ac:dyDescent="0.25">
      <c r="A46" s="65" t="s">
        <v>71</v>
      </c>
      <c r="B46" s="60" t="s">
        <v>30</v>
      </c>
      <c r="C46" s="42" t="s">
        <v>48</v>
      </c>
      <c r="D46" s="42" t="s">
        <v>56</v>
      </c>
      <c r="E46" s="13">
        <v>15</v>
      </c>
      <c r="F46" s="14">
        <v>10.36</v>
      </c>
      <c r="G46" s="14">
        <f>592*0.015</f>
        <v>8.879999999999999</v>
      </c>
      <c r="H46" s="14">
        <f>28.85*0.015</f>
        <v>0.43275000000000002</v>
      </c>
      <c r="I46" s="14">
        <f>27.24*0.015</f>
        <v>0.40859999999999996</v>
      </c>
      <c r="J46" s="15">
        <f>57.86*0.015</f>
        <v>0.8679</v>
      </c>
    </row>
    <row r="47" spans="1:10" s="59" customFormat="1" x14ac:dyDescent="0.25">
      <c r="A47" s="65"/>
      <c r="B47" s="7" t="s">
        <v>16</v>
      </c>
      <c r="C47" s="5" t="s">
        <v>46</v>
      </c>
      <c r="D47" s="5" t="s">
        <v>54</v>
      </c>
      <c r="E47" s="16" t="s">
        <v>55</v>
      </c>
      <c r="F47" s="6">
        <v>9.6</v>
      </c>
      <c r="G47" s="6">
        <f>415*0.25+162*0.1</f>
        <v>119.95</v>
      </c>
      <c r="H47" s="6">
        <f>7.21*0.25+2.6*0.1</f>
        <v>2.0625</v>
      </c>
      <c r="I47" s="6">
        <f>19.68*0.25+15*0.1</f>
        <v>6.42</v>
      </c>
      <c r="J47" s="8">
        <f>43.73*0.25+3.6*0.1</f>
        <v>11.292499999999999</v>
      </c>
    </row>
    <row r="48" spans="1:10" x14ac:dyDescent="0.25">
      <c r="A48" s="65"/>
      <c r="B48" s="7" t="s">
        <v>13</v>
      </c>
      <c r="C48" s="53" t="s">
        <v>49</v>
      </c>
      <c r="D48" s="57" t="s">
        <v>50</v>
      </c>
      <c r="E48" s="16">
        <v>70</v>
      </c>
      <c r="F48" s="6">
        <v>32.29</v>
      </c>
      <c r="G48" s="54">
        <f>132.2/75*70</f>
        <v>123.38666666666666</v>
      </c>
      <c r="H48" s="55">
        <f>9.5/75*70</f>
        <v>8.8666666666666671</v>
      </c>
      <c r="I48" s="55">
        <f>5.6/75*70</f>
        <v>5.2266666666666666</v>
      </c>
      <c r="J48" s="56">
        <f>10.9/75*70</f>
        <v>10.173333333333334</v>
      </c>
    </row>
    <row r="49" spans="1:10" ht="15.75" x14ac:dyDescent="0.25">
      <c r="A49" s="65"/>
      <c r="B49" s="7" t="s">
        <v>17</v>
      </c>
      <c r="C49" s="47" t="s">
        <v>43</v>
      </c>
      <c r="D49" s="48" t="s">
        <v>44</v>
      </c>
      <c r="E49" s="16">
        <v>150</v>
      </c>
      <c r="F49" s="6">
        <v>15.28</v>
      </c>
      <c r="G49" s="46">
        <f>915*0.15</f>
        <v>137.25</v>
      </c>
      <c r="H49" s="46">
        <f>20.43*0.15</f>
        <v>3.0644999999999998</v>
      </c>
      <c r="I49" s="46">
        <f>32.01*0.15</f>
        <v>4.8014999999999999</v>
      </c>
      <c r="J49" s="49">
        <f>136.26*0.15</f>
        <v>20.438999999999997</v>
      </c>
    </row>
    <row r="50" spans="1:10" x14ac:dyDescent="0.25">
      <c r="A50" s="65"/>
      <c r="B50" s="7" t="s">
        <v>18</v>
      </c>
      <c r="C50" s="5" t="s">
        <v>57</v>
      </c>
      <c r="D50" s="5" t="s">
        <v>58</v>
      </c>
      <c r="E50" s="16" t="s">
        <v>59</v>
      </c>
      <c r="F50" s="6">
        <v>3.77</v>
      </c>
      <c r="G50" s="6">
        <v>62</v>
      </c>
      <c r="H50" s="6">
        <v>0.13</v>
      </c>
      <c r="I50" s="6">
        <v>0.02</v>
      </c>
      <c r="J50" s="8">
        <v>15.2</v>
      </c>
    </row>
    <row r="51" spans="1:10" x14ac:dyDescent="0.25">
      <c r="A51" s="65"/>
      <c r="B51" s="7" t="s">
        <v>21</v>
      </c>
      <c r="C51" s="40" t="s">
        <v>41</v>
      </c>
      <c r="D51" s="5" t="s">
        <v>42</v>
      </c>
      <c r="E51" s="16">
        <v>50</v>
      </c>
      <c r="F51" s="6">
        <v>4.38</v>
      </c>
      <c r="G51" s="41">
        <v>159</v>
      </c>
      <c r="H51" s="41">
        <v>3.64</v>
      </c>
      <c r="I51" s="41">
        <v>6.26</v>
      </c>
      <c r="J51" s="45">
        <v>21.96</v>
      </c>
    </row>
    <row r="52" spans="1:10" ht="15.75" thickBot="1" x14ac:dyDescent="0.3">
      <c r="A52" s="65"/>
      <c r="B52" s="9" t="s">
        <v>14</v>
      </c>
      <c r="C52" s="10" t="s">
        <v>31</v>
      </c>
      <c r="D52" s="10" t="s">
        <v>32</v>
      </c>
      <c r="E52" s="17">
        <v>34</v>
      </c>
      <c r="F52" s="18">
        <v>1.32</v>
      </c>
      <c r="G52" s="18">
        <f>229.7*0.34</f>
        <v>78.097999999999999</v>
      </c>
      <c r="H52" s="11">
        <f>6.7*0.34</f>
        <v>2.278</v>
      </c>
      <c r="I52" s="11">
        <f>1.1*0.34</f>
        <v>0.37400000000000005</v>
      </c>
      <c r="J52" s="12">
        <f>48.3*0.34</f>
        <v>16.422000000000001</v>
      </c>
    </row>
    <row r="53" spans="1:10" ht="16.5" thickBot="1" x14ac:dyDescent="0.3">
      <c r="A53" s="66" t="s">
        <v>15</v>
      </c>
      <c r="B53" s="69"/>
      <c r="C53" s="69"/>
      <c r="D53" s="69"/>
      <c r="E53" s="70"/>
      <c r="F53" s="58">
        <f>SUM(F46:F52)</f>
        <v>76.999999999999986</v>
      </c>
      <c r="G53" s="58">
        <f>SUM(G46:G52)</f>
        <v>688.56466666666665</v>
      </c>
      <c r="H53" s="58">
        <f>SUM(H46:H52)</f>
        <v>20.474416666666666</v>
      </c>
      <c r="I53" s="58">
        <f>SUM(I46:I52)</f>
        <v>23.510766666666665</v>
      </c>
      <c r="J53" s="58">
        <f>SUM(J46:J52)</f>
        <v>96.354733333333343</v>
      </c>
    </row>
    <row r="54" spans="1:10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</row>
    <row r="55" spans="1:10" ht="15.75" thickBot="1" x14ac:dyDescent="0.3">
      <c r="A55" s="71" t="s">
        <v>25</v>
      </c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15.75" x14ac:dyDescent="0.25">
      <c r="A56" s="22"/>
      <c r="B56" s="22"/>
      <c r="C56" s="61" t="s">
        <v>23</v>
      </c>
      <c r="D56" s="61"/>
      <c r="E56" s="52"/>
      <c r="F56" s="52"/>
      <c r="G56" s="62"/>
      <c r="H56" s="62"/>
      <c r="I56" s="62"/>
      <c r="J56" s="62"/>
    </row>
    <row r="57" spans="1:10" x14ac:dyDescent="0.25">
      <c r="A57" s="1"/>
      <c r="B57" s="1"/>
      <c r="C57" s="1"/>
      <c r="D57" s="1"/>
      <c r="E57" s="52"/>
      <c r="F57" s="52"/>
      <c r="G57" s="52"/>
      <c r="H57" s="52"/>
      <c r="I57" s="52"/>
      <c r="J57" s="52"/>
    </row>
    <row r="58" spans="1:10" x14ac:dyDescent="0.25">
      <c r="A58" s="63" t="s">
        <v>24</v>
      </c>
      <c r="B58" s="63"/>
      <c r="C58" s="52"/>
      <c r="D58" s="52"/>
      <c r="E58" s="52"/>
      <c r="F58" s="52"/>
      <c r="G58" s="52"/>
      <c r="H58" s="52"/>
      <c r="I58" s="52"/>
      <c r="J58" s="52"/>
    </row>
    <row r="59" spans="1:10" x14ac:dyDescent="0.25">
      <c r="A59" s="63" t="s">
        <v>26</v>
      </c>
      <c r="B59" s="63"/>
      <c r="C59" s="52"/>
      <c r="D59" s="52"/>
      <c r="E59" s="52"/>
      <c r="F59" s="52"/>
      <c r="G59" s="52"/>
      <c r="H59" s="52"/>
      <c r="I59" s="52"/>
      <c r="J59" s="52"/>
    </row>
  </sheetData>
  <mergeCells count="25">
    <mergeCell ref="A21:E21"/>
    <mergeCell ref="A3:A6"/>
    <mergeCell ref="A14:A20"/>
    <mergeCell ref="A26:A30"/>
    <mergeCell ref="A22:A24"/>
    <mergeCell ref="A25:E25"/>
    <mergeCell ref="B1:C1"/>
    <mergeCell ref="G1:J1"/>
    <mergeCell ref="A7:E7"/>
    <mergeCell ref="A8:A12"/>
    <mergeCell ref="A13:E13"/>
    <mergeCell ref="A31:E31"/>
    <mergeCell ref="A32:A35"/>
    <mergeCell ref="A36:E36"/>
    <mergeCell ref="A37:A38"/>
    <mergeCell ref="A39:E39"/>
    <mergeCell ref="C56:D56"/>
    <mergeCell ref="G56:J56"/>
    <mergeCell ref="A58:B58"/>
    <mergeCell ref="A59:B59"/>
    <mergeCell ref="A40:A44"/>
    <mergeCell ref="A45:E45"/>
    <mergeCell ref="A46:A52"/>
    <mergeCell ref="A53:E53"/>
    <mergeCell ref="A55:J5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2022-12-01T11:19:46Z</dcterms:modified>
</cp:coreProperties>
</file>